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DISNEY\POAI 2017\ENERO 2017\"/>
    </mc:Choice>
  </mc:AlternateContent>
  <bookViews>
    <workbookView xWindow="0" yWindow="0" windowWidth="28800" windowHeight="11835"/>
  </bookViews>
  <sheets>
    <sheet name="PROYECTO 1.1" sheetId="1" r:id="rId1"/>
    <sheet name="PROYECTO 1.2" sheetId="2" r:id="rId2"/>
    <sheet name="PROYECTO 1.3" sheetId="7" r:id="rId3"/>
    <sheet name="PROYECTO 2.1 " sheetId="14" r:id="rId4"/>
    <sheet name="PROYECTO 2.2" sheetId="15" r:id="rId5"/>
    <sheet name="PROYECTO 3.1" sheetId="6" r:id="rId6"/>
    <sheet name="PROYECTO 3.2" sheetId="12" r:id="rId7"/>
    <sheet name="PROYECTO 4.1" sheetId="9" r:id="rId8"/>
    <sheet name="PROYECTO 5.1" sheetId="13" r:id="rId9"/>
    <sheet name="PROYECTO 5.2" sheetId="10" r:id="rId10"/>
    <sheet name="PROYECTO 6.1" sheetId="8" r:id="rId11"/>
    <sheet name="PROYECTO 6.2" sheetId="5" r:id="rId12"/>
    <sheet name="FUENTES Y USOS" sheetId="11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3" hidden="1">'PROYECTO 2.1 '!$A$6:$M$34</definedName>
    <definedName name="categorias">[1]Hoja2!$A$4:$A$17</definedName>
    <definedName name="categorias11">[2]Hoja2!$A$4:$A$17</definedName>
    <definedName name="_xlnm.Print_Titles" localSheetId="3">'PROYECTO 2.1 '!$7:$7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5" l="1"/>
  <c r="H28" i="15"/>
  <c r="I28" i="15"/>
  <c r="J28" i="15"/>
  <c r="J29" i="15" s="1"/>
  <c r="K28" i="15"/>
  <c r="F28" i="15"/>
  <c r="L29" i="15"/>
  <c r="G29" i="15"/>
  <c r="K27" i="15"/>
  <c r="K29" i="15" s="1"/>
  <c r="J27" i="15"/>
  <c r="I27" i="15"/>
  <c r="I29" i="15" s="1"/>
  <c r="H27" i="15"/>
  <c r="H29" i="15" s="1"/>
  <c r="G27" i="15"/>
  <c r="D26" i="15"/>
  <c r="E26" i="15" s="1"/>
  <c r="F26" i="15" s="1"/>
  <c r="D25" i="15"/>
  <c r="E25" i="15" s="1"/>
  <c r="F25" i="15" s="1"/>
  <c r="D24" i="15"/>
  <c r="E24" i="15" s="1"/>
  <c r="F24" i="15" s="1"/>
  <c r="D23" i="15"/>
  <c r="E23" i="15" s="1"/>
  <c r="E21" i="15"/>
  <c r="F21" i="15" s="1"/>
  <c r="E20" i="15"/>
  <c r="F20" i="15" s="1"/>
  <c r="D19" i="15"/>
  <c r="F17" i="15"/>
  <c r="E17" i="15"/>
  <c r="F16" i="15"/>
  <c r="E16" i="15"/>
  <c r="F13" i="15"/>
  <c r="D13" i="15"/>
  <c r="E12" i="15"/>
  <c r="F12" i="15" s="1"/>
  <c r="D10" i="15"/>
  <c r="E10" i="15" s="1"/>
  <c r="F9" i="15"/>
  <c r="G33" i="14"/>
  <c r="H33" i="14"/>
  <c r="I33" i="14"/>
  <c r="I34" i="14" s="1"/>
  <c r="J33" i="14"/>
  <c r="K33" i="14"/>
  <c r="L32" i="14"/>
  <c r="K32" i="14"/>
  <c r="K34" i="14" s="1"/>
  <c r="J32" i="14"/>
  <c r="I32" i="14"/>
  <c r="H32" i="14"/>
  <c r="G32" i="14"/>
  <c r="G34" i="14" s="1"/>
  <c r="D31" i="14"/>
  <c r="E31" i="14" s="1"/>
  <c r="F31" i="14" s="1"/>
  <c r="D30" i="14"/>
  <c r="E30" i="14" s="1"/>
  <c r="F30" i="14" s="1"/>
  <c r="D29" i="14"/>
  <c r="E29" i="14" s="1"/>
  <c r="F29" i="14" s="1"/>
  <c r="D28" i="14"/>
  <c r="E28" i="14" s="1"/>
  <c r="F28" i="14" s="1"/>
  <c r="E26" i="14"/>
  <c r="F26" i="14" s="1"/>
  <c r="D26" i="14"/>
  <c r="E22" i="14"/>
  <c r="D21" i="14" s="1"/>
  <c r="E21" i="14" s="1"/>
  <c r="F21" i="14" s="1"/>
  <c r="D19" i="14"/>
  <c r="E19" i="14" s="1"/>
  <c r="F19" i="14" s="1"/>
  <c r="F18" i="14"/>
  <c r="E18" i="14"/>
  <c r="E16" i="14"/>
  <c r="F16" i="14" s="1"/>
  <c r="E15" i="14"/>
  <c r="F15" i="14" s="1"/>
  <c r="E13" i="14"/>
  <c r="F13" i="14" s="1"/>
  <c r="D13" i="14"/>
  <c r="D12" i="14"/>
  <c r="E12" i="14" s="1"/>
  <c r="F12" i="14" s="1"/>
  <c r="F9" i="14"/>
  <c r="E9" i="14"/>
  <c r="C8" i="14"/>
  <c r="H34" i="14" l="1"/>
  <c r="D22" i="15"/>
  <c r="F23" i="15"/>
  <c r="F22" i="14"/>
  <c r="J34" i="14"/>
  <c r="F10" i="15"/>
  <c r="F27" i="15" s="1"/>
  <c r="F29" i="15" s="1"/>
  <c r="E27" i="15"/>
  <c r="D14" i="14"/>
  <c r="E14" i="14" s="1"/>
  <c r="F14" i="14" s="1"/>
  <c r="F32" i="14" s="1"/>
  <c r="F20" i="13"/>
  <c r="F11" i="13"/>
  <c r="F14" i="13"/>
  <c r="F16" i="13"/>
  <c r="F17" i="13"/>
  <c r="F18" i="13"/>
  <c r="F19" i="13"/>
  <c r="E32" i="14" l="1"/>
  <c r="L33" i="5"/>
  <c r="L23" i="13"/>
  <c r="L45" i="9"/>
  <c r="L16" i="12"/>
  <c r="L11" i="7"/>
  <c r="G32" i="5"/>
  <c r="G33" i="5" s="1"/>
  <c r="F32" i="5"/>
  <c r="F33" i="5" s="1"/>
  <c r="G50" i="8"/>
  <c r="L50" i="8"/>
  <c r="F50" i="8"/>
  <c r="G49" i="8"/>
  <c r="L49" i="8"/>
  <c r="F49" i="8"/>
  <c r="G22" i="10"/>
  <c r="F22" i="10"/>
  <c r="G22" i="13"/>
  <c r="H22" i="13"/>
  <c r="I22" i="13"/>
  <c r="J22" i="13"/>
  <c r="K22" i="13"/>
  <c r="G44" i="9"/>
  <c r="G45" i="9" s="1"/>
  <c r="H44" i="9"/>
  <c r="H45" i="9" s="1"/>
  <c r="I44" i="9"/>
  <c r="I45" i="9" s="1"/>
  <c r="J44" i="9"/>
  <c r="J45" i="9" s="1"/>
  <c r="K44" i="9"/>
  <c r="K45" i="9" s="1"/>
  <c r="F44" i="9"/>
  <c r="F45" i="9" s="1"/>
  <c r="G15" i="12"/>
  <c r="G16" i="12" s="1"/>
  <c r="H15" i="12"/>
  <c r="H16" i="12" s="1"/>
  <c r="I15" i="12"/>
  <c r="I16" i="12" s="1"/>
  <c r="J15" i="12"/>
  <c r="J16" i="12" s="1"/>
  <c r="K15" i="12"/>
  <c r="K16" i="12" s="1"/>
  <c r="H8" i="7"/>
  <c r="H7" i="7"/>
  <c r="H10" i="7"/>
  <c r="H11" i="7" s="1"/>
  <c r="I10" i="7"/>
  <c r="I11" i="7" s="1"/>
  <c r="J10" i="7"/>
  <c r="J11" i="7" s="1"/>
  <c r="K10" i="7"/>
  <c r="K11" i="7" s="1"/>
  <c r="F10" i="7"/>
  <c r="F11" i="7" s="1"/>
  <c r="H29" i="2"/>
  <c r="J29" i="2"/>
  <c r="K29" i="2"/>
  <c r="F29" i="2"/>
  <c r="F27" i="1"/>
  <c r="G27" i="1"/>
  <c r="H27" i="1"/>
  <c r="J27" i="1"/>
  <c r="K27" i="1"/>
  <c r="L21" i="13"/>
  <c r="K21" i="13"/>
  <c r="I21" i="13"/>
  <c r="H21" i="13"/>
  <c r="G21" i="13"/>
  <c r="G23" i="13" s="1"/>
  <c r="E13" i="13"/>
  <c r="E12" i="13"/>
  <c r="F12" i="13" s="1"/>
  <c r="E10" i="13"/>
  <c r="F10" i="13" s="1"/>
  <c r="E9" i="13"/>
  <c r="F9" i="13" s="1"/>
  <c r="E8" i="13"/>
  <c r="K14" i="12"/>
  <c r="J14" i="12"/>
  <c r="I14" i="12"/>
  <c r="H14" i="12"/>
  <c r="G14" i="12"/>
  <c r="E11" i="12"/>
  <c r="E14" i="12" s="1"/>
  <c r="I23" i="13" l="1"/>
  <c r="E21" i="13"/>
  <c r="F8" i="13"/>
  <c r="F21" i="13" s="1"/>
  <c r="J21" i="13"/>
  <c r="H23" i="13"/>
  <c r="K23" i="13"/>
  <c r="J13" i="13"/>
  <c r="J23" i="13"/>
  <c r="L51" i="8"/>
  <c r="G51" i="8"/>
  <c r="F51" i="8"/>
  <c r="F11" i="12"/>
  <c r="F14" i="12" s="1"/>
  <c r="M22" i="11"/>
  <c r="S22" i="11" s="1"/>
  <c r="L22" i="11"/>
  <c r="AD21" i="11"/>
  <c r="V21" i="11"/>
  <c r="V6" i="11" s="1"/>
  <c r="AH20" i="11"/>
  <c r="S20" i="11"/>
  <c r="L20" i="11"/>
  <c r="AH19" i="11"/>
  <c r="S19" i="11"/>
  <c r="E50" i="8" s="1"/>
  <c r="I19" i="11"/>
  <c r="L19" i="11" s="1"/>
  <c r="L18" i="11" s="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R18" i="11"/>
  <c r="Q18" i="11"/>
  <c r="P18" i="11"/>
  <c r="O18" i="11"/>
  <c r="N18" i="11"/>
  <c r="M18" i="11"/>
  <c r="K18" i="11"/>
  <c r="J18" i="11"/>
  <c r="H18" i="11"/>
  <c r="G18" i="11"/>
  <c r="F18" i="11"/>
  <c r="E18" i="11"/>
  <c r="D18" i="11"/>
  <c r="C18" i="11"/>
  <c r="AH17" i="11"/>
  <c r="S17" i="11"/>
  <c r="E22" i="10" s="1"/>
  <c r="I17" i="11"/>
  <c r="I15" i="11" s="1"/>
  <c r="AA16" i="11"/>
  <c r="AH16" i="11" s="1"/>
  <c r="AH15" i="11" s="1"/>
  <c r="M16" i="11"/>
  <c r="L16" i="11"/>
  <c r="AG15" i="11"/>
  <c r="AF15" i="11"/>
  <c r="AE15" i="11"/>
  <c r="AD15" i="11"/>
  <c r="AC15" i="11"/>
  <c r="AB15" i="11"/>
  <c r="Z15" i="11"/>
  <c r="Y15" i="11"/>
  <c r="X15" i="11"/>
  <c r="W15" i="11"/>
  <c r="V15" i="11"/>
  <c r="U15" i="11"/>
  <c r="T15" i="11"/>
  <c r="R15" i="11"/>
  <c r="Q15" i="11"/>
  <c r="P15" i="11"/>
  <c r="O15" i="11"/>
  <c r="N15" i="11"/>
  <c r="K15" i="11"/>
  <c r="J15" i="11"/>
  <c r="H15" i="11"/>
  <c r="G15" i="11"/>
  <c r="F15" i="11"/>
  <c r="E15" i="11"/>
  <c r="D15" i="11"/>
  <c r="C15" i="11"/>
  <c r="AH14" i="11"/>
  <c r="AH13" i="11" s="1"/>
  <c r="S14" i="11"/>
  <c r="L14" i="11"/>
  <c r="L13" i="11" s="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K13" i="11"/>
  <c r="J13" i="11"/>
  <c r="I13" i="11"/>
  <c r="H13" i="11"/>
  <c r="G13" i="11"/>
  <c r="F13" i="11"/>
  <c r="E13" i="11"/>
  <c r="D13" i="11"/>
  <c r="C13" i="11"/>
  <c r="AB12" i="11"/>
  <c r="AB10" i="11" s="1"/>
  <c r="T12" i="11"/>
  <c r="S12" i="11"/>
  <c r="E15" i="12" s="1"/>
  <c r="E16" i="12" s="1"/>
  <c r="M12" i="11"/>
  <c r="F15" i="12" s="1"/>
  <c r="L12" i="11"/>
  <c r="AH11" i="11"/>
  <c r="S11" i="11"/>
  <c r="E34" i="6" s="1"/>
  <c r="M11" i="11"/>
  <c r="F34" i="6" s="1"/>
  <c r="L11" i="11"/>
  <c r="L10" i="11" s="1"/>
  <c r="AG10" i="11"/>
  <c r="AF10" i="11"/>
  <c r="AE10" i="11"/>
  <c r="AD10" i="11"/>
  <c r="AC10" i="11"/>
  <c r="AA10" i="11"/>
  <c r="Z10" i="11"/>
  <c r="Y10" i="11"/>
  <c r="X10" i="11"/>
  <c r="W10" i="11"/>
  <c r="V10" i="11"/>
  <c r="U10" i="11"/>
  <c r="T10" i="11"/>
  <c r="R10" i="11"/>
  <c r="Q10" i="11"/>
  <c r="P10" i="11"/>
  <c r="O10" i="11"/>
  <c r="N10" i="11"/>
  <c r="M10" i="11"/>
  <c r="K10" i="11"/>
  <c r="J10" i="11"/>
  <c r="I10" i="11"/>
  <c r="H10" i="11"/>
  <c r="G10" i="11"/>
  <c r="F10" i="11"/>
  <c r="E10" i="11"/>
  <c r="D10" i="11"/>
  <c r="C10" i="11"/>
  <c r="AH9" i="11"/>
  <c r="S9" i="11"/>
  <c r="E28" i="15" s="1"/>
  <c r="E29" i="15" s="1"/>
  <c r="L9" i="11"/>
  <c r="AH8" i="11"/>
  <c r="AH7" i="11" s="1"/>
  <c r="M8" i="11"/>
  <c r="L8" i="11"/>
  <c r="L7" i="11" s="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R7" i="11"/>
  <c r="Q7" i="11"/>
  <c r="P7" i="11"/>
  <c r="O7" i="11"/>
  <c r="N7" i="11"/>
  <c r="K7" i="11"/>
  <c r="J7" i="11"/>
  <c r="I7" i="11"/>
  <c r="H7" i="11"/>
  <c r="G7" i="11"/>
  <c r="F7" i="11"/>
  <c r="E7" i="11"/>
  <c r="D7" i="11"/>
  <c r="C7" i="11"/>
  <c r="AD6" i="11"/>
  <c r="AD3" i="11" s="1"/>
  <c r="L6" i="11"/>
  <c r="AG5" i="11"/>
  <c r="AG3" i="11" s="1"/>
  <c r="U5" i="11"/>
  <c r="P5" i="11"/>
  <c r="I29" i="2" s="1"/>
  <c r="N5" i="11"/>
  <c r="G29" i="2" s="1"/>
  <c r="L5" i="11"/>
  <c r="AH4" i="11"/>
  <c r="P4" i="11"/>
  <c r="I4" i="11"/>
  <c r="I3" i="11" s="1"/>
  <c r="AF3" i="11"/>
  <c r="AE3" i="11"/>
  <c r="AC3" i="11"/>
  <c r="AB3" i="11"/>
  <c r="AA3" i="11"/>
  <c r="Z3" i="11"/>
  <c r="Y3" i="11"/>
  <c r="X3" i="11"/>
  <c r="W3" i="11"/>
  <c r="U3" i="11"/>
  <c r="T3" i="11"/>
  <c r="R3" i="11"/>
  <c r="Q3" i="11"/>
  <c r="O3" i="11"/>
  <c r="M3" i="11"/>
  <c r="K3" i="11"/>
  <c r="J3" i="11"/>
  <c r="H3" i="11"/>
  <c r="G3" i="11"/>
  <c r="F3" i="11"/>
  <c r="E3" i="11"/>
  <c r="D3" i="11"/>
  <c r="C3" i="11"/>
  <c r="Q21" i="11" l="1"/>
  <c r="E21" i="11"/>
  <c r="W21" i="11"/>
  <c r="D21" i="11"/>
  <c r="H21" i="11"/>
  <c r="AC21" i="11"/>
  <c r="AK14" i="11"/>
  <c r="E44" i="9"/>
  <c r="K21" i="11"/>
  <c r="F21" i="11"/>
  <c r="Z21" i="11"/>
  <c r="S16" i="11"/>
  <c r="E22" i="13" s="1"/>
  <c r="E23" i="13" s="1"/>
  <c r="F22" i="13"/>
  <c r="F23" i="13" s="1"/>
  <c r="I18" i="11"/>
  <c r="I21" i="11" s="1"/>
  <c r="AH18" i="11"/>
  <c r="C21" i="11"/>
  <c r="T21" i="11"/>
  <c r="X21" i="11"/>
  <c r="AB21" i="11"/>
  <c r="AF21" i="11"/>
  <c r="S8" i="11"/>
  <c r="E33" i="14" s="1"/>
  <c r="E34" i="14" s="1"/>
  <c r="F33" i="14"/>
  <c r="F34" i="14" s="1"/>
  <c r="R21" i="11"/>
  <c r="AK17" i="11"/>
  <c r="F16" i="12"/>
  <c r="J21" i="11"/>
  <c r="AK20" i="11"/>
  <c r="E32" i="5"/>
  <c r="G21" i="11"/>
  <c r="Y21" i="11"/>
  <c r="S4" i="11"/>
  <c r="E27" i="1" s="1"/>
  <c r="I27" i="1"/>
  <c r="O21" i="11"/>
  <c r="U21" i="11"/>
  <c r="AE21" i="11"/>
  <c r="AK9" i="11"/>
  <c r="AK8" i="11"/>
  <c r="V3" i="11"/>
  <c r="AH6" i="11"/>
  <c r="P3" i="11"/>
  <c r="P21" i="11" s="1"/>
  <c r="L4" i="11"/>
  <c r="L3" i="11" s="1"/>
  <c r="AH5" i="11"/>
  <c r="AH3" i="11" s="1"/>
  <c r="N6" i="11"/>
  <c r="M7" i="11"/>
  <c r="AH12" i="11"/>
  <c r="AH10" i="11" s="1"/>
  <c r="AA15" i="11"/>
  <c r="AA21" i="11" s="1"/>
  <c r="L17" i="11"/>
  <c r="L15" i="11" s="1"/>
  <c r="S5" i="11"/>
  <c r="E29" i="2" s="1"/>
  <c r="S10" i="11"/>
  <c r="AK11" i="11"/>
  <c r="S18" i="11"/>
  <c r="AK19" i="11"/>
  <c r="M15" i="11"/>
  <c r="L26" i="1"/>
  <c r="L28" i="1" s="1"/>
  <c r="K26" i="1"/>
  <c r="K28" i="1" s="1"/>
  <c r="J26" i="1"/>
  <c r="J28" i="1" s="1"/>
  <c r="I26" i="1"/>
  <c r="H26" i="1"/>
  <c r="H28" i="1" s="1"/>
  <c r="E25" i="1"/>
  <c r="E24" i="1"/>
  <c r="F24" i="1" s="1"/>
  <c r="E23" i="1"/>
  <c r="F23" i="1" s="1"/>
  <c r="D22" i="1"/>
  <c r="E22" i="1" s="1"/>
  <c r="F22" i="1" s="1"/>
  <c r="E20" i="1"/>
  <c r="D20" i="1" s="1"/>
  <c r="E18" i="1"/>
  <c r="D18" i="1" s="1"/>
  <c r="E17" i="1"/>
  <c r="E16" i="1"/>
  <c r="E15" i="1"/>
  <c r="G15" i="1" s="1"/>
  <c r="G14" i="1"/>
  <c r="D14" i="1"/>
  <c r="D13" i="1"/>
  <c r="E13" i="1" s="1"/>
  <c r="G13" i="1" s="1"/>
  <c r="E11" i="1"/>
  <c r="E10" i="1"/>
  <c r="E9" i="1"/>
  <c r="E26" i="1" s="1"/>
  <c r="E28" i="1" s="1"/>
  <c r="E8" i="1"/>
  <c r="E7" i="1"/>
  <c r="K22" i="10"/>
  <c r="J22" i="10"/>
  <c r="J23" i="10" s="1"/>
  <c r="I22" i="10"/>
  <c r="H22" i="10"/>
  <c r="L21" i="10"/>
  <c r="L23" i="10" s="1"/>
  <c r="K21" i="10"/>
  <c r="J21" i="10"/>
  <c r="I21" i="10"/>
  <c r="H21" i="10"/>
  <c r="G21" i="10"/>
  <c r="G23" i="10" s="1"/>
  <c r="D18" i="10"/>
  <c r="E18" i="10" s="1"/>
  <c r="F18" i="10" s="1"/>
  <c r="E17" i="10"/>
  <c r="F17" i="10" s="1"/>
  <c r="E16" i="10"/>
  <c r="F16" i="10" s="1"/>
  <c r="E15" i="10"/>
  <c r="F15" i="10" s="1"/>
  <c r="E14" i="10"/>
  <c r="F14" i="10" s="1"/>
  <c r="F12" i="10"/>
  <c r="F10" i="10"/>
  <c r="E8" i="10"/>
  <c r="L43" i="9"/>
  <c r="K43" i="9"/>
  <c r="I43" i="9"/>
  <c r="H43" i="9"/>
  <c r="G43" i="9"/>
  <c r="F43" i="9"/>
  <c r="J42" i="9"/>
  <c r="E42" i="9"/>
  <c r="D42" i="9"/>
  <c r="E41" i="9"/>
  <c r="E40" i="9"/>
  <c r="D40" i="9" s="1"/>
  <c r="J38" i="9"/>
  <c r="E38" i="9"/>
  <c r="E37" i="9"/>
  <c r="E36" i="9"/>
  <c r="J36" i="9" s="1"/>
  <c r="E35" i="9"/>
  <c r="J34" i="9"/>
  <c r="E34" i="9" s="1"/>
  <c r="D34" i="9" s="1"/>
  <c r="E31" i="9"/>
  <c r="D31" i="9" s="1"/>
  <c r="E30" i="9"/>
  <c r="E29" i="9"/>
  <c r="D29" i="9"/>
  <c r="E27" i="9"/>
  <c r="J27" i="9" s="1"/>
  <c r="E26" i="9"/>
  <c r="J26" i="9" s="1"/>
  <c r="D26" i="9"/>
  <c r="J25" i="9"/>
  <c r="E25" i="9"/>
  <c r="J24" i="9"/>
  <c r="D24" i="9"/>
  <c r="E23" i="9"/>
  <c r="D23" i="9"/>
  <c r="E22" i="9"/>
  <c r="D22" i="9" s="1"/>
  <c r="E21" i="9"/>
  <c r="D21" i="9" s="1"/>
  <c r="E20" i="9"/>
  <c r="D20" i="9" s="1"/>
  <c r="E19" i="9"/>
  <c r="D19" i="9"/>
  <c r="E18" i="9"/>
  <c r="D18" i="9" s="1"/>
  <c r="J16" i="9"/>
  <c r="E16" i="9" s="1"/>
  <c r="D16" i="9" s="1"/>
  <c r="J15" i="9"/>
  <c r="E15" i="9"/>
  <c r="D15" i="9"/>
  <c r="E13" i="9"/>
  <c r="E12" i="9"/>
  <c r="E11" i="9"/>
  <c r="D11" i="9" s="1"/>
  <c r="E10" i="9"/>
  <c r="E9" i="9"/>
  <c r="E8" i="9"/>
  <c r="E7" i="9"/>
  <c r="G46" i="8"/>
  <c r="E46" i="8"/>
  <c r="D46" i="8" s="1"/>
  <c r="E45" i="8"/>
  <c r="G45" i="8" s="1"/>
  <c r="D45" i="8"/>
  <c r="G44" i="8"/>
  <c r="D44" i="8"/>
  <c r="G43" i="8"/>
  <c r="D42" i="8"/>
  <c r="E42" i="8" s="1"/>
  <c r="G42" i="8" s="1"/>
  <c r="G41" i="8"/>
  <c r="G40" i="8"/>
  <c r="D40" i="8"/>
  <c r="G39" i="8"/>
  <c r="G38" i="8"/>
  <c r="D38" i="8"/>
  <c r="G37" i="8"/>
  <c r="D37" i="8"/>
  <c r="G36" i="8"/>
  <c r="G35" i="8"/>
  <c r="D35" i="8"/>
  <c r="G34" i="8"/>
  <c r="D34" i="8"/>
  <c r="D33" i="8"/>
  <c r="E33" i="8" s="1"/>
  <c r="G32" i="8"/>
  <c r="G31" i="8"/>
  <c r="D31" i="8"/>
  <c r="D30" i="8"/>
  <c r="E30" i="8" s="1"/>
  <c r="G30" i="8" s="1"/>
  <c r="G29" i="8"/>
  <c r="G28" i="8"/>
  <c r="D28" i="8"/>
  <c r="D27" i="8"/>
  <c r="E27" i="8" s="1"/>
  <c r="G27" i="8" s="1"/>
  <c r="D26" i="8"/>
  <c r="E26" i="8" s="1"/>
  <c r="G26" i="8" s="1"/>
  <c r="D25" i="8"/>
  <c r="E25" i="8" s="1"/>
  <c r="G25" i="8" s="1"/>
  <c r="D24" i="8"/>
  <c r="E24" i="8" s="1"/>
  <c r="G24" i="8" s="1"/>
  <c r="D23" i="8"/>
  <c r="E23" i="8" s="1"/>
  <c r="G23" i="8" s="1"/>
  <c r="E22" i="8"/>
  <c r="G22" i="8" s="1"/>
  <c r="D22" i="8"/>
  <c r="D21" i="8"/>
  <c r="E21" i="8" s="1"/>
  <c r="G21" i="8" s="1"/>
  <c r="E20" i="8"/>
  <c r="G20" i="8" s="1"/>
  <c r="E19" i="8"/>
  <c r="D19" i="8"/>
  <c r="D18" i="8"/>
  <c r="E18" i="8" s="1"/>
  <c r="G18" i="8" s="1"/>
  <c r="D17" i="8"/>
  <c r="E17" i="8" s="1"/>
  <c r="G17" i="8" s="1"/>
  <c r="D16" i="8"/>
  <c r="E16" i="8" s="1"/>
  <c r="G16" i="8" s="1"/>
  <c r="G15" i="8"/>
  <c r="D14" i="8"/>
  <c r="E14" i="8" s="1"/>
  <c r="G14" i="8" s="1"/>
  <c r="G13" i="8"/>
  <c r="E12" i="8"/>
  <c r="G12" i="8" s="1"/>
  <c r="D12" i="8"/>
  <c r="D11" i="8"/>
  <c r="E11" i="8" s="1"/>
  <c r="G11" i="8" s="1"/>
  <c r="D10" i="8"/>
  <c r="E10" i="8" s="1"/>
  <c r="G10" i="8" s="1"/>
  <c r="D9" i="8"/>
  <c r="E9" i="8" s="1"/>
  <c r="G9" i="8" s="1"/>
  <c r="D8" i="8"/>
  <c r="E8" i="8" s="1"/>
  <c r="AH21" i="11" l="1"/>
  <c r="K23" i="10"/>
  <c r="E21" i="10"/>
  <c r="E23" i="10" s="1"/>
  <c r="H23" i="10"/>
  <c r="I23" i="10"/>
  <c r="G26" i="1"/>
  <c r="G28" i="1" s="1"/>
  <c r="M21" i="11"/>
  <c r="S15" i="11"/>
  <c r="I28" i="1"/>
  <c r="AK16" i="11"/>
  <c r="L21" i="11"/>
  <c r="AK4" i="11"/>
  <c r="S6" i="11"/>
  <c r="E10" i="7" s="1"/>
  <c r="G10" i="7"/>
  <c r="G11" i="7" s="1"/>
  <c r="S7" i="11"/>
  <c r="AK12" i="11"/>
  <c r="AK5" i="11"/>
  <c r="N3" i="11"/>
  <c r="N21" i="11" s="1"/>
  <c r="F26" i="1"/>
  <c r="F28" i="1" s="1"/>
  <c r="F21" i="10"/>
  <c r="F23" i="10" s="1"/>
  <c r="E43" i="9"/>
  <c r="E45" i="9" s="1"/>
  <c r="J43" i="9"/>
  <c r="J33" i="9"/>
  <c r="E33" i="9" s="1"/>
  <c r="D33" i="9" s="1"/>
  <c r="G8" i="8"/>
  <c r="E49" i="8"/>
  <c r="E51" i="8" s="1"/>
  <c r="G33" i="8"/>
  <c r="G19" i="8"/>
  <c r="L9" i="7"/>
  <c r="K9" i="7"/>
  <c r="J9" i="7"/>
  <c r="I9" i="7"/>
  <c r="H9" i="7"/>
  <c r="G9" i="7"/>
  <c r="F9" i="7"/>
  <c r="E8" i="7"/>
  <c r="E7" i="7"/>
  <c r="E9" i="7" s="1"/>
  <c r="K34" i="6"/>
  <c r="J34" i="6"/>
  <c r="J35" i="6" s="1"/>
  <c r="I34" i="6"/>
  <c r="H34" i="6"/>
  <c r="G34" i="6"/>
  <c r="L33" i="6"/>
  <c r="L35" i="6" s="1"/>
  <c r="K33" i="6"/>
  <c r="J33" i="6"/>
  <c r="I33" i="6"/>
  <c r="H33" i="6"/>
  <c r="G33" i="6"/>
  <c r="E32" i="6"/>
  <c r="F32" i="6" s="1"/>
  <c r="E31" i="6"/>
  <c r="F31" i="6" s="1"/>
  <c r="E30" i="6"/>
  <c r="F30" i="6" s="1"/>
  <c r="E29" i="6"/>
  <c r="F29" i="6" s="1"/>
  <c r="E27" i="6"/>
  <c r="F27" i="6" s="1"/>
  <c r="D26" i="6"/>
  <c r="E26" i="6" s="1"/>
  <c r="F26" i="6" s="1"/>
  <c r="D25" i="6"/>
  <c r="E25" i="6" s="1"/>
  <c r="F25" i="6" s="1"/>
  <c r="E23" i="6"/>
  <c r="F23" i="6" s="1"/>
  <c r="E21" i="6"/>
  <c r="F21" i="6" s="1"/>
  <c r="E20" i="6"/>
  <c r="F20" i="6" s="1"/>
  <c r="D20" i="6"/>
  <c r="F18" i="6"/>
  <c r="D17" i="6"/>
  <c r="E17" i="6" s="1"/>
  <c r="F17" i="6" s="1"/>
  <c r="D16" i="6"/>
  <c r="E16" i="6" s="1"/>
  <c r="F16" i="6" s="1"/>
  <c r="D15" i="6"/>
  <c r="E15" i="6" s="1"/>
  <c r="F15" i="6" s="1"/>
  <c r="E12" i="6"/>
  <c r="F12" i="6" s="1"/>
  <c r="E11" i="6"/>
  <c r="F11" i="6" s="1"/>
  <c r="E10" i="6"/>
  <c r="F10" i="6" s="1"/>
  <c r="E9" i="6"/>
  <c r="F9" i="6" s="1"/>
  <c r="D9" i="6"/>
  <c r="D8" i="6"/>
  <c r="E8" i="6" s="1"/>
  <c r="K32" i="5"/>
  <c r="K33" i="5" s="1"/>
  <c r="J32" i="5"/>
  <c r="J33" i="5" s="1"/>
  <c r="I32" i="5"/>
  <c r="I33" i="5" s="1"/>
  <c r="H32" i="5"/>
  <c r="H33" i="5" s="1"/>
  <c r="L31" i="5"/>
  <c r="K31" i="5"/>
  <c r="J31" i="5"/>
  <c r="I31" i="5"/>
  <c r="H31" i="5"/>
  <c r="E30" i="5"/>
  <c r="G30" i="5" s="1"/>
  <c r="E29" i="5"/>
  <c r="G29" i="5" s="1"/>
  <c r="E28" i="5"/>
  <c r="G28" i="5" s="1"/>
  <c r="E27" i="5"/>
  <c r="G27" i="5" s="1"/>
  <c r="E25" i="5"/>
  <c r="G25" i="5" s="1"/>
  <c r="E24" i="5"/>
  <c r="G24" i="5" s="1"/>
  <c r="E23" i="5"/>
  <c r="G23" i="5" s="1"/>
  <c r="D23" i="5"/>
  <c r="D22" i="5"/>
  <c r="E22" i="5" s="1"/>
  <c r="G22" i="5" s="1"/>
  <c r="E21" i="5"/>
  <c r="G21" i="5" s="1"/>
  <c r="D21" i="5"/>
  <c r="D20" i="5"/>
  <c r="E20" i="5" s="1"/>
  <c r="G20" i="5" s="1"/>
  <c r="E19" i="5"/>
  <c r="G19" i="5" s="1"/>
  <c r="D19" i="5"/>
  <c r="F17" i="5"/>
  <c r="F31" i="5" s="1"/>
  <c r="E17" i="5"/>
  <c r="G15" i="5"/>
  <c r="E15" i="5"/>
  <c r="E14" i="5"/>
  <c r="E12" i="5"/>
  <c r="G12" i="5" s="1"/>
  <c r="D12" i="5"/>
  <c r="D11" i="5"/>
  <c r="E11" i="5" s="1"/>
  <c r="G11" i="5" s="1"/>
  <c r="E10" i="5"/>
  <c r="D10" i="5"/>
  <c r="E11" i="7" l="1"/>
  <c r="S3" i="11"/>
  <c r="S21" i="11" s="1"/>
  <c r="AL5" i="11" s="1"/>
  <c r="G35" i="6"/>
  <c r="K35" i="6"/>
  <c r="E33" i="6"/>
  <c r="H35" i="6"/>
  <c r="I35" i="6"/>
  <c r="AL20" i="11"/>
  <c r="AL19" i="11"/>
  <c r="F8" i="6"/>
  <c r="F33" i="6" s="1"/>
  <c r="F35" i="6" s="1"/>
  <c r="E35" i="6"/>
  <c r="G10" i="5"/>
  <c r="G31" i="5" s="1"/>
  <c r="E31" i="5"/>
  <c r="E33" i="5" s="1"/>
  <c r="L28" i="2"/>
  <c r="L30" i="2" s="1"/>
  <c r="K28" i="2"/>
  <c r="K30" i="2" s="1"/>
  <c r="J28" i="2"/>
  <c r="J30" i="2" s="1"/>
  <c r="H28" i="2"/>
  <c r="H30" i="2" s="1"/>
  <c r="F28" i="2"/>
  <c r="F30" i="2" s="1"/>
  <c r="E26" i="2"/>
  <c r="E24" i="2"/>
  <c r="D23" i="2"/>
  <c r="D21" i="2"/>
  <c r="E20" i="2"/>
  <c r="D20" i="2" s="1"/>
  <c r="E19" i="2"/>
  <c r="G19" i="2" s="1"/>
  <c r="G18" i="2"/>
  <c r="D16" i="2"/>
  <c r="E16" i="2" s="1"/>
  <c r="E15" i="2"/>
  <c r="D15" i="2"/>
  <c r="G14" i="2"/>
  <c r="E14" i="2" s="1"/>
  <c r="D14" i="2" s="1"/>
  <c r="G12" i="2"/>
  <c r="E12" i="2" s="1"/>
  <c r="D12" i="2" s="1"/>
  <c r="I10" i="2"/>
  <c r="E10" i="2" s="1"/>
  <c r="D10" i="2" s="1"/>
  <c r="I9" i="2"/>
  <c r="G9" i="2"/>
  <c r="AL16" i="11" l="1"/>
  <c r="AL11" i="11"/>
  <c r="AL4" i="11"/>
  <c r="AL12" i="11"/>
  <c r="AL9" i="11"/>
  <c r="AL14" i="11"/>
  <c r="AL6" i="11"/>
  <c r="AL8" i="11"/>
  <c r="AL17" i="11"/>
  <c r="AK21" i="11"/>
  <c r="E9" i="2"/>
  <c r="D9" i="2" s="1"/>
  <c r="I28" i="2"/>
  <c r="I30" i="2" s="1"/>
  <c r="G28" i="2"/>
  <c r="G30" i="2" s="1"/>
  <c r="E28" i="2" l="1"/>
  <c r="E30" i="2" s="1"/>
</calcChain>
</file>

<file path=xl/comments1.xml><?xml version="1.0" encoding="utf-8"?>
<comments xmlns="http://schemas.openxmlformats.org/spreadsheetml/2006/main">
  <authors>
    <author>Edisney Silva Argote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Linea base de  vulnerabilidad relacionados con variabilidad climática para el Huila </t>
        </r>
      </text>
    </comment>
  </commentList>
</comments>
</file>

<file path=xl/sharedStrings.xml><?xml version="1.0" encoding="utf-8"?>
<sst xmlns="http://schemas.openxmlformats.org/spreadsheetml/2006/main" count="848" uniqueCount="360">
  <si>
    <t>PROYECTO 1.1 ORDENAMIENTO Y ADMINISTRACIÓN DEL RECURSO HIDRICO Y LAS CUENCAS HIDROGRÁFICAS</t>
  </si>
  <si>
    <t xml:space="preserve">INDICADOR </t>
  </si>
  <si>
    <t>UNIDAD DE MEDIDA</t>
  </si>
  <si>
    <t>CANTIDAD</t>
  </si>
  <si>
    <t>COSTO UNITARIO ($)</t>
  </si>
  <si>
    <t>COSTO TOTAL ($)</t>
  </si>
  <si>
    <t>FUENTES DE FINANCIACION</t>
  </si>
  <si>
    <t>TSE</t>
  </si>
  <si>
    <t>% AMBIENTAL</t>
  </si>
  <si>
    <t>TASA RETRIBUTIVA</t>
  </si>
  <si>
    <t>TUA</t>
  </si>
  <si>
    <t>OTROS RP</t>
  </si>
  <si>
    <t xml:space="preserve">APORTE NACION </t>
  </si>
  <si>
    <t>Excedentes Financieros 2016</t>
  </si>
  <si>
    <t>Porcentaje de cuerpos de agua con reglamentación del uso de las aguas</t>
  </si>
  <si>
    <t>%</t>
  </si>
  <si>
    <t>Número de cuerpos de agua con reglamentación del uso de las aguas</t>
  </si>
  <si>
    <t xml:space="preserve">Unidad   </t>
  </si>
  <si>
    <t>Porcentaje de cuerpos de agua con plan de ordenamiento del recurso hídrico (PORH) adoptados</t>
  </si>
  <si>
    <t>Cuerpos de agua con plan de ordenamiento del recurso hídrico (PORH) adoptados</t>
  </si>
  <si>
    <t>Unidad</t>
  </si>
  <si>
    <t xml:space="preserve">Porcentaje de avance en la formulación y/o ajustes de los  Planes de Ordenación y Manejo de Cuencas (POMCAS), Planes de Manejo de Acuíferos (PMA) y Planes de Manejo de Microcuencas (PMM) </t>
  </si>
  <si>
    <t>No. Planes de Ordenación y Manejo de Cuencas (POMCAS), Planes de Manejo de Acuíferos (PMA) y Planes de Manejo de Microcuencas (PMM) formulados o reformulados, con consulta previa si a ello hubiere lugar</t>
  </si>
  <si>
    <t>Consulta Previa Comunidades Indígenas Guarapas y Ajuste y formulación Río Loro Ceibas, y otros directos al Magdalena (Código 2111-01)</t>
  </si>
  <si>
    <t>Global</t>
  </si>
  <si>
    <t>Formulación PMAM Quebrada Barbillas - La Plata</t>
  </si>
  <si>
    <t>Apoyo a Supervisión en ajuste POMCA Río Guarapas,Garzón Barbillas y Ceibas (2 asesores y 2 profesionales)</t>
  </si>
  <si>
    <t>Porcentaje de redes y estaciones de monitoreo en operación</t>
  </si>
  <si>
    <t>Número de estaciones instaladas y en operación</t>
  </si>
  <si>
    <t>Estación</t>
  </si>
  <si>
    <t>Mantenimiento y reparacion de equipos de medición</t>
  </si>
  <si>
    <t>Campañas de monitoreo del recurso hídrico en el río Magdalena y sus principales afluentes</t>
  </si>
  <si>
    <t>Campaña / año</t>
  </si>
  <si>
    <t>Seguimiento, Monitoreo y Control al Recurso Hídrico (Cuencas Abastecedoras y Otras Cuencas Prioritarias)</t>
  </si>
  <si>
    <t xml:space="preserve">Municipio </t>
  </si>
  <si>
    <t>Estudios Ambientales del Recuso Hídrico</t>
  </si>
  <si>
    <t xml:space="preserve">Estudios </t>
  </si>
  <si>
    <t>TOTAL POR PROYECTO:</t>
  </si>
  <si>
    <t>APROPIACION PRESUPUESTAL DEL PROYECTO:</t>
  </si>
  <si>
    <t>DIFERENCIA:</t>
  </si>
  <si>
    <t>INDICADOR MINIMO DE GESTIÓN</t>
  </si>
  <si>
    <t xml:space="preserve"> </t>
  </si>
  <si>
    <t>INDICADOR PLAN DE ACCIÓN 2016-2019</t>
  </si>
  <si>
    <t>PROYECTO 1.2: RECUPERACION DE CUENCAS  HIDROGRAFICAS</t>
  </si>
  <si>
    <t>INDICADOR - ACTIVIDAD</t>
  </si>
  <si>
    <t>APORTE NACION (Proyecto Restauración )</t>
  </si>
  <si>
    <t>Porcentaje de Planes de Ordenación y Manejo de Cuencas (POMCAS), Planes de Manejo de Acuíferos (PMA) y Planes de Manejo de Microcuencas (PMM) en ejecución</t>
  </si>
  <si>
    <t>%*</t>
  </si>
  <si>
    <t>No. Planes de Ordenación y Manejo de Cuencas (POMCAS), Planes de Manejo de Acuíferos (PMA) y Planes de Manejo de Microcuencas (PMM) en ejecución</t>
  </si>
  <si>
    <t xml:space="preserve">Plan </t>
  </si>
  <si>
    <t>Cofinanciación del POMCH del río Las Ceibas</t>
  </si>
  <si>
    <t>Giro Fiduciaria</t>
  </si>
  <si>
    <t>Cofinanciación POMCAS en ejecución (Qda Garzón, Ríos Suaza y Guarapas)</t>
  </si>
  <si>
    <t>Porcentaje de suelos degradados en recuperación o rehabilitacón</t>
  </si>
  <si>
    <t>Suelos degradados en recuperación o rehabilitacón</t>
  </si>
  <si>
    <t>Has</t>
  </si>
  <si>
    <t>TF</t>
  </si>
  <si>
    <t>Reforestación, asistencia técnica, interventoría y supervisión en cuencas abastecedoras</t>
  </si>
  <si>
    <t>Asistencia técnica, interventoría y supervisión de reforestación  en cuencas abastecedoras</t>
  </si>
  <si>
    <t>Adición guadua para domingo de ramos</t>
  </si>
  <si>
    <t>Chsuquin</t>
  </si>
  <si>
    <t>Áreas reforestadas para la protección de cuencas abastecedoras en mantenimiento.</t>
  </si>
  <si>
    <t>Ha</t>
  </si>
  <si>
    <t>Mantenimiento  de reforestación protectora y/o protectora - productora, asistencia técnica, interventoría y supervisión</t>
  </si>
  <si>
    <t>Áreas revegetalizadas naturalmente para la protección de cuencas abastecedoras. Recursos PGN</t>
  </si>
  <si>
    <t>Asistencia técnica, interventoría y supervisión de aislamientos para revegetalización natural en cuencas abastecedoras</t>
  </si>
  <si>
    <t>Áreas revegetalizadas naturalmente para la protección de cuencas abastecedoras en mantenimiento.</t>
  </si>
  <si>
    <t>Mantenimiento del aislamiento de áreas para la protección-conservación, asistencia técnica, interventoría y supervisión en cuencas abastecedoras</t>
  </si>
  <si>
    <t>Asistencia técnica, interventoría y supervisión de aislamiento en cuencas abastecedoras</t>
  </si>
  <si>
    <t>No. de has adquiridas y administradas para la restauración  y conservación de áreas estratégicas en cuencas hidrográficas abastecedoras de acueductos municipales y/o veredales</t>
  </si>
  <si>
    <t>Gestión y compra de predios en áreas estratégicas de las cuencas hidrográficas</t>
  </si>
  <si>
    <t xml:space="preserve">Diseñoy y/o adopción de un esquema de pago por servicios ambientales </t>
  </si>
  <si>
    <t>B y S</t>
  </si>
  <si>
    <t xml:space="preserve">PROYECTO 2.1. CONOCIMIENTO Y PLANIFICACIÓN DE ECOSISTEMAS ESTRATÉGICOS </t>
  </si>
  <si>
    <t>APORTE NACION (proyecto restauracion )</t>
  </si>
  <si>
    <t>Excedentes Financieros</t>
  </si>
  <si>
    <t xml:space="preserve">Porcentaje de la superficie de áreas protegidas regionales declaradas, homologadas o recategorizadas, inscritas en el RUNAP </t>
  </si>
  <si>
    <t>Superficie de áreas protegidas regionales declaradas, homologadas o recategorizadas, inscritas en el RUNAP (incluye reservas temporales)</t>
  </si>
  <si>
    <t>HA</t>
  </si>
  <si>
    <t>Estudio técnico y proceso  de socialización tendiente  a la declaratoria de areas protegidas.</t>
  </si>
  <si>
    <t>% avance</t>
  </si>
  <si>
    <t>No. predios apoyados para su caracterización y/o gestión como reserva natural de la sociedad civil</t>
  </si>
  <si>
    <t xml:space="preserve">Predios </t>
  </si>
  <si>
    <t>Prestación de servicios profesionales para registro y gestion de RNSC</t>
  </si>
  <si>
    <t>Hombre/mes</t>
  </si>
  <si>
    <t xml:space="preserve">adquisicion de elementos de ferreteria para apoyo a RNSC priorizadas </t>
  </si>
  <si>
    <t xml:space="preserve">No. ecosistemas compartidos planificados y/o gestionados por la Corporación </t>
  </si>
  <si>
    <t>Unidad*</t>
  </si>
  <si>
    <t>Secretaria Técnica del SIRAP</t>
  </si>
  <si>
    <t>Investigación, Conocimiento y/o Manejo de Áreas de Importancia estratégica  y de la Biodiversidad</t>
  </si>
  <si>
    <t>Ecosistema</t>
  </si>
  <si>
    <t>Compra de Equipos Monitoreo Fauna</t>
  </si>
  <si>
    <t>Porcentaje de Páramos delimitados por el MADS, con zonificacion y régimen de usos adoptados por la CAM</t>
  </si>
  <si>
    <t>No. páramos delimitados con zonificación y régimen de usos adoptados por la CAM</t>
  </si>
  <si>
    <t>Áreas estrategicas con medidas de manejo</t>
  </si>
  <si>
    <t>Porcentaje de especies  invasoras con medidas de prevención, control y manejo en ejecución</t>
  </si>
  <si>
    <t>Especies  invasoras con medidas de prevención, control y manejo en ejecución</t>
  </si>
  <si>
    <t>Mecanismos de divulgación de medidas de prevención, control y manejo de especies  invasoras en ejecución</t>
  </si>
  <si>
    <t>Gastos de Gestión, Operación, Administración y Promoción del Proyecto</t>
  </si>
  <si>
    <t>Porcentaje</t>
  </si>
  <si>
    <t>Refrigerios y Almuerzos</t>
  </si>
  <si>
    <t>Papeleria</t>
  </si>
  <si>
    <t>Insumos y Consumibles (Tintas)</t>
  </si>
  <si>
    <t>Transporte de Pasajeros</t>
  </si>
  <si>
    <t>PROYECTO 2.2 CONSERVACION Y RECUPERACION DE ECOSISTEMAS ESTRATEGICOS Y SU BIODIVERSIDAD</t>
  </si>
  <si>
    <t>Porcentaje de áreas protegidas con planes de manejo en ejecución</t>
  </si>
  <si>
    <t>Material POP</t>
  </si>
  <si>
    <t>Senderos</t>
  </si>
  <si>
    <t>Porcentaje de áreas de ecosistemas en restauración, rehabilitación y reforestación</t>
  </si>
  <si>
    <t>Areas de ecosistemas en restauración, rehabilitación y reforestación</t>
  </si>
  <si>
    <t>Porcentaje de especies amenazadas con medidas de conservación y manejo en ejecución</t>
  </si>
  <si>
    <t>Especies amenazadas con medidas de manejo  en ejecución</t>
  </si>
  <si>
    <t>PROYECTO 6.2:  EDUCACIÓN AMBIENTAL: OPITA DE CORAZON</t>
  </si>
  <si>
    <t>Ejecución de acciones en Educación Ambiental</t>
  </si>
  <si>
    <t>Ejecución de la Política Nacional Ambiental en la región</t>
  </si>
  <si>
    <t>Política*</t>
  </si>
  <si>
    <t>Fortalecimiento de los procesos de formación ambiental</t>
  </si>
  <si>
    <t>Prestación de servicios (PRAES-PROCEDA-PRAU-JA)</t>
  </si>
  <si>
    <t>Prestación de servicios (ONDAS)</t>
  </si>
  <si>
    <t>Diseño e implementación de Programa de Educación Ambiental</t>
  </si>
  <si>
    <t>Programa*</t>
  </si>
  <si>
    <t>Estímulos e incentivos para el mejoramiento de la calidad de la formación ambiental</t>
  </si>
  <si>
    <t>Intercambio de experiencias significativas</t>
  </si>
  <si>
    <t>Construcción, dotación e implementación  de senderos interpretativos para la educación ambiental</t>
  </si>
  <si>
    <t>Sendero</t>
  </si>
  <si>
    <t>Estrategia de comunicación para sensibilizar cambios de actitud y toma de conciencia sobre el adecuado uso de los recursos naturales renovables</t>
  </si>
  <si>
    <t>Estrategia*</t>
  </si>
  <si>
    <t>Coordinadora OdeC</t>
  </si>
  <si>
    <t xml:space="preserve">Profesional </t>
  </si>
  <si>
    <t>Ténico de apoyo</t>
  </si>
  <si>
    <t>Relacionista</t>
  </si>
  <si>
    <t>Diseñador</t>
  </si>
  <si>
    <t>Pautas comunicativas</t>
  </si>
  <si>
    <t xml:space="preserve">Global </t>
  </si>
  <si>
    <t>Transporte</t>
  </si>
  <si>
    <t>Refrigerios y almuerzos</t>
  </si>
  <si>
    <t>Tintas</t>
  </si>
  <si>
    <t>PROYECTO 3.1 CRECIMIENTO VERDE DE SECTORES PRODUCTIVOS</t>
  </si>
  <si>
    <t>APORTE DPS</t>
  </si>
  <si>
    <t>Implementación del programa regional de negocios verdes por la autoridad ambiental</t>
  </si>
  <si>
    <t>Profesional</t>
  </si>
  <si>
    <t>Participación en eventos comerciales</t>
  </si>
  <si>
    <t>Auxiliar administrativa</t>
  </si>
  <si>
    <t>Apoyo investigación productos de la biiodiversidad</t>
  </si>
  <si>
    <t>Porcentaje de sectores con acompañamiento para la reconversión hacia sistemas sostenibles de producción</t>
  </si>
  <si>
    <t>Sectores con acompañamiento para la reconversión y/o apoyo  hacia sistemas de producción sostenibles.</t>
  </si>
  <si>
    <t>Número</t>
  </si>
  <si>
    <t>Prestación de servicios</t>
  </si>
  <si>
    <t>Técnico administrativo</t>
  </si>
  <si>
    <t>Convenio Comité Cafeteros</t>
  </si>
  <si>
    <t>Apoyo sectores (apícola, cacaotero, ganadero y piscicola)</t>
  </si>
  <si>
    <t>Promoción e implementación del Pacto Intersectorial por la Madera Legal</t>
  </si>
  <si>
    <t>Pacto*</t>
  </si>
  <si>
    <t>Logística apoyo a la implementación PIML</t>
  </si>
  <si>
    <t>Implementación de programas de post consumo, para sectores</t>
  </si>
  <si>
    <t>Sectores</t>
  </si>
  <si>
    <t>Implementación programa post consumo</t>
  </si>
  <si>
    <t>Identificación, promoción y aplicación de energías alternativas y/o utilización de sistemas ecoeficientes de combustión en sectores productivos y/o para uso doméstico</t>
  </si>
  <si>
    <t>Tëcnico administrativo</t>
  </si>
  <si>
    <t>Apoyo sectores productivos</t>
  </si>
  <si>
    <t>PROYECTO 1.3: DESCONTAMINACION DE FUENTES HIDRICAS</t>
  </si>
  <si>
    <t>Convenio cofinanciado y con seguimiento anual  para construcción de sistemas que contribuyan a la descontaminación</t>
  </si>
  <si>
    <t>Convenio *</t>
  </si>
  <si>
    <t>Seguimiento y monitoreo a la aplicación  de la tasa reributiva</t>
  </si>
  <si>
    <t>Seguimiento*</t>
  </si>
  <si>
    <t>PROYECTOS PARA POSIBLE INVERSIÓN EN EL AÑO 2017</t>
  </si>
  <si>
    <t>Proyecto</t>
  </si>
  <si>
    <t xml:space="preserve">Valor </t>
  </si>
  <si>
    <t>Aportes planteados en 2016</t>
  </si>
  <si>
    <t>Posible Aporte CAM 2017 para definir con DG</t>
  </si>
  <si>
    <t>Garzón</t>
  </si>
  <si>
    <t xml:space="preserve">Interceptores </t>
  </si>
  <si>
    <t xml:space="preserve">Garzón ha avanzado en ventanilla </t>
  </si>
  <si>
    <t>PTAR</t>
  </si>
  <si>
    <t xml:space="preserve">Acevedo </t>
  </si>
  <si>
    <t>Diseños PTAR</t>
  </si>
  <si>
    <t>Paicol</t>
  </si>
  <si>
    <t xml:space="preserve">Paicol ya adquirio el total del predio </t>
  </si>
  <si>
    <t>Palestina</t>
  </si>
  <si>
    <t>Pitalito</t>
  </si>
  <si>
    <t>Neiva</t>
  </si>
  <si>
    <t>Gobernación - FIA</t>
  </si>
  <si>
    <t xml:space="preserve">Transferencia </t>
  </si>
  <si>
    <t xml:space="preserve">RECURSOS DISPONIBLES EN FIA </t>
  </si>
  <si>
    <t>Proyecto No. 6.1:   CAM: MODELO DE GESTIÓN CORPORATIVA</t>
  </si>
  <si>
    <t>Sistema Integrado de Gestión  conforme y articulado al MECI</t>
  </si>
  <si>
    <t>Sistema*</t>
  </si>
  <si>
    <t xml:space="preserve">Profesional Sistema de Gestión Ambiental </t>
  </si>
  <si>
    <t>Auditoria de seguimiento y actualización normas ISO 9001 e ISO 14001 versión 2015</t>
  </si>
  <si>
    <t>Material divulgativo Sistema Integrado de Gestión (agendas 2017)</t>
  </si>
  <si>
    <t>Profesional de apoyo sistema de información geográfica</t>
  </si>
  <si>
    <t>Profesional Apoyo MECI 1000</t>
  </si>
  <si>
    <t>Ejecución del Plan Estratégico Tecnológico 2016-2019</t>
  </si>
  <si>
    <t>Outsourcing soporte de sistemas</t>
  </si>
  <si>
    <t>Mes</t>
  </si>
  <si>
    <t>Adquisición de una solución de Intranet.</t>
  </si>
  <si>
    <t>Reposición equipos de cómputo</t>
  </si>
  <si>
    <t>Soporte técnico para el motor de base de datos Oracle 11g</t>
  </si>
  <si>
    <t xml:space="preserve">Mantenimiento para dispositivos y sistemas eléctricos </t>
  </si>
  <si>
    <t>Adquisición de UPS para sede principal y DT´s</t>
  </si>
  <si>
    <t>Repuestos equipos de cómputo</t>
  </si>
  <si>
    <t>Servicio de Internet y canal de datos para la CAM</t>
  </si>
  <si>
    <t>Servicio de correo electrónico corporativo</t>
  </si>
  <si>
    <t>Cuentas</t>
  </si>
  <si>
    <t>Alojamiento página web</t>
  </si>
  <si>
    <t>Adquirir una solución para consolidar las solicitudes de PQR</t>
  </si>
  <si>
    <t>Soporte técnico página web</t>
  </si>
  <si>
    <t>Renovación licencia y soporte firewall</t>
  </si>
  <si>
    <t>Adquisición o actualización del servicio de dos (2) licencias Arc2Earth Sync</t>
  </si>
  <si>
    <t>Contratar el diseño y estructuración de la Geodatabase conforme a los lineamientos establecidos por el ICDE y con base en información oficial</t>
  </si>
  <si>
    <t xml:space="preserve">Implementacion del programa de gestión documental  </t>
  </si>
  <si>
    <t>Programa</t>
  </si>
  <si>
    <t>Soporte sistema de gestón documental ORFEO</t>
  </si>
  <si>
    <t>Contratar la adquisición de un software para el centro de documentación</t>
  </si>
  <si>
    <t>Diseño y/o construcción y/o adecuación de sede central y predios de su propiedad, como ejemplo de sostenibilidad ambiental y armonía con el ambiente</t>
  </si>
  <si>
    <t xml:space="preserve">Fase </t>
  </si>
  <si>
    <t>Reforzamiento estructural Bloque 4</t>
  </si>
  <si>
    <t>Dotación mobiliario bloques 1,2,3 y 4 sede principal</t>
  </si>
  <si>
    <t>Adecuaciones auditorio Misael Pastrana Borrero</t>
  </si>
  <si>
    <t xml:space="preserve">Adquisición, y/o diseño y/o construcción y/o adecuación de sedes territoriales </t>
  </si>
  <si>
    <t>Sede</t>
  </si>
  <si>
    <t>Construcción  sede Dirección Territorial Centro - Garzón</t>
  </si>
  <si>
    <t>Mobiliario sede Dirección Territorial Centro - Garzón</t>
  </si>
  <si>
    <t>Estrategia Imagen Corporativa</t>
  </si>
  <si>
    <t xml:space="preserve">Promocíon de la imagén Institucional </t>
  </si>
  <si>
    <t>Apoyo a municipios en la actualización catastral</t>
  </si>
  <si>
    <t>Municipio</t>
  </si>
  <si>
    <t xml:space="preserve">Apoyo  actualización catastral </t>
  </si>
  <si>
    <t>Adquisición de papeleria ,  utiles de oficina y consumibles para equipo de impresión</t>
  </si>
  <si>
    <t xml:space="preserve">Contratación de servicio de refrigerios y almuerzos </t>
  </si>
  <si>
    <t>Contratación de servicio público de transporte especial de pasajeros, requerido por servidores públicos para el ejercicio de funciones de asesoría, asistencia técnica, capacitación, interventoría, supervisión y/o seguimiento en la implementación de proyectos asociados al Plan de Acción 2016 -2019</t>
  </si>
  <si>
    <t>PROYECTO 4.1: CONTROL Y VIGILANCIA AMBIENTAL</t>
  </si>
  <si>
    <t>Excedentes Financieros 2015</t>
  </si>
  <si>
    <t>Porcentaje de Programas de Uso Eficiente y Ahorro del Agua (PUEAA) con seguimiento</t>
  </si>
  <si>
    <t>Porcentaje de Planes de Gestión Integral de Residuos Sólidos (PGIRS) con seguimiento a metas de aprovechamiento</t>
  </si>
  <si>
    <t>Porcentaje de Planes de Saneamiento y Manejo de Vertimientos –PSMV- con seguimiento</t>
  </si>
  <si>
    <t>Porcentaje de autorizaciones ambientales con seguimiento</t>
  </si>
  <si>
    <t>Personal de evaluación y seguimiento</t>
  </si>
  <si>
    <t>Tiempo promedio de trámite para la resolución de autorizaciones ambientales otorgadas por la Corporación.</t>
  </si>
  <si>
    <t>dias*</t>
  </si>
  <si>
    <t>Porcentaje de procesos sancionatorios resueltos</t>
  </si>
  <si>
    <t xml:space="preserve">Asistencia técnica, seguimiento y control a generadores de residuos o desechos peligrosos – RESPEL </t>
  </si>
  <si>
    <t>Asesoría, asistencia técnica y capacitación en gestión de RESPEL (Coordinador)</t>
  </si>
  <si>
    <t>Tecnicos de apoyo RESPEL</t>
  </si>
  <si>
    <t>Estrategia de control a la extracción  ilegal de los recursos naturales.RED DE CONTROL AMBIENTAL RECAM</t>
  </si>
  <si>
    <t>Red*</t>
  </si>
  <si>
    <t>Apoyo Técnico</t>
  </si>
  <si>
    <t>Aopyo Juridico</t>
  </si>
  <si>
    <t xml:space="preserve">Transporte decomisos </t>
  </si>
  <si>
    <t>Combustible DT´S</t>
  </si>
  <si>
    <t>Suministro de Refrigerios y Almuerzos</t>
  </si>
  <si>
    <t>Viaticos Funcionarios</t>
  </si>
  <si>
    <t>Transporte Funcionarios</t>
  </si>
  <si>
    <t>Citadores DT´s</t>
  </si>
  <si>
    <t>Equipos para Gestión y Autoridad Ambiental</t>
  </si>
  <si>
    <t>Seguimiento, monitoreo y control  a fuentes móviles de emisiones atmosféricas</t>
  </si>
  <si>
    <t>Monitoreo</t>
  </si>
  <si>
    <t>Seguimiento y monitoreo de fuentes moviles en el Departamento</t>
  </si>
  <si>
    <t>Red de vigilancia y monitoreo de la calidad del aire</t>
  </si>
  <si>
    <t>Red *</t>
  </si>
  <si>
    <t>Seguimiento al sistema de vigilancia y monitoreo de la calidad del aire en el Departamento</t>
  </si>
  <si>
    <t>Estrategia para la preservación, conservación, rehabilitación y/o reintroducción y control y seguimiento a la fauna silvestre.</t>
  </si>
  <si>
    <t>Personal de apoyo CAV</t>
  </si>
  <si>
    <t>Contratacion de Alimentos, Medicamentos, Laboratorio clinico y pruebas diagnosticas</t>
  </si>
  <si>
    <t xml:space="preserve">Porcentaje de empresas con obligatoriedad de contar con Departamento de Gestión Ambiental, con seguimiento </t>
  </si>
  <si>
    <t>Personal de evaluación y seguimiento DGA</t>
  </si>
  <si>
    <t xml:space="preserve">Seguimiento y control a la implementación y operación del comparendo ambiental </t>
  </si>
  <si>
    <t>Municipio*</t>
  </si>
  <si>
    <t>Personal de evaluación y seguimiento Comparendo Ambiental</t>
  </si>
  <si>
    <t>Implementación de aplicativo para la administración y seguimiento en línea de trámites ambientales</t>
  </si>
  <si>
    <t>Aplicativo actualizado</t>
  </si>
  <si>
    <t>Asesoría, asistencia técnica y capacitación, seguimiento, actualización: aplicativos CITA, SISF, RUIA, SNIF.</t>
  </si>
  <si>
    <t>Porcentaje de actualización y reporte de la información en el SIAC</t>
  </si>
  <si>
    <t>Asistencia técnica, administrativa y  actualización: SIAC</t>
  </si>
  <si>
    <t>PROYECTO 5.2: GESTION DEL RIESGO DE DESASTRES</t>
  </si>
  <si>
    <t>Estudios de AVR para la gestión de conocimiento del riesgo  en la vigencia del plan de acción</t>
  </si>
  <si>
    <t>Estudios</t>
  </si>
  <si>
    <t>Estrategia regional para apoyo y elaboración de AVR cabeceras urbanas y centros poblados rurales</t>
  </si>
  <si>
    <t>Acotamiento y/o Actualización de Rondas Hídricas Urbanas  priorizadas por municipio</t>
  </si>
  <si>
    <t>% de avance en la Implementación de  obras de reducción de riesgo por amenaza natural</t>
  </si>
  <si>
    <t>Construcción de obras de control orientadas a la reducción del riesgo de desastres</t>
  </si>
  <si>
    <t>Asesoría y asistencia técnica  a entes territoriales y/o consejos territoriales de desastres incluido el fortalecimiento a  la capacidad local en prevención y atención de incendios forestales</t>
  </si>
  <si>
    <t>Ente territorial</t>
  </si>
  <si>
    <t>Profesional Especializado (geologo) para el  apoyo al CDGRD y los CMGRD del departamento del Huila</t>
  </si>
  <si>
    <t>Profesional de apoyo para gestion del riesgo de desastres.</t>
  </si>
  <si>
    <t xml:space="preserve">Fortalecimiento en la organización  de Redes de Vigias Rurales - RVR y /o Brigadas Rurales </t>
  </si>
  <si>
    <t>Fortalecimiento a los cuerpos bomberiles del departamento del Huila.</t>
  </si>
  <si>
    <t>Pago de servicio de transporte de servidores públicos que prestan asesoría, asistencia técnica y/o capacitación en gestión del riesgo de desastres</t>
  </si>
  <si>
    <t xml:space="preserve">Campañas de monitoreo del recurso hídrico </t>
  </si>
  <si>
    <t>Profesional y técnicos Recurso Hídrico</t>
  </si>
  <si>
    <t>Elaboración de muestreos y contramuestreos</t>
  </si>
  <si>
    <t>Actualización  del Registro de Usuarios del Recurso Hídrico - RURH</t>
  </si>
  <si>
    <t>No.</t>
  </si>
  <si>
    <t>PROGRAMAS Y PROYECTOS</t>
  </si>
  <si>
    <t>AÑO 2016</t>
  </si>
  <si>
    <t>2017 PAI</t>
  </si>
  <si>
    <t>RECURSOS DE CAPITAL</t>
  </si>
  <si>
    <t>RENDIMIENTOS FINANCIEROS</t>
  </si>
  <si>
    <t xml:space="preserve">NACION </t>
  </si>
  <si>
    <t>TRANSFERENCIAS DEL SECTOR ELECTRICO</t>
  </si>
  <si>
    <t>PORCENTAJE AMBIENTAL</t>
  </si>
  <si>
    <t>TASAS RETRIBUTIVAS/ RECUPERACION CARTERA</t>
  </si>
  <si>
    <t>TASAS POR USO DEL RECURSO HIDRICO / RECUPERACION CARTERA</t>
  </si>
  <si>
    <t>OTROS RECURSOS PROPIOS</t>
  </si>
  <si>
    <t>ADICION RECURSOS CONVENIO 210 DE 2016 (Resolucion No. xxx)</t>
  </si>
  <si>
    <t>TOTAL 2016 POR PROYECTO</t>
  </si>
  <si>
    <t>TOTAL 2017 POR PROYECTO</t>
  </si>
  <si>
    <t>SOBRETASA</t>
  </si>
  <si>
    <t>TR</t>
  </si>
  <si>
    <t>MULTAS Y SANCIONES</t>
  </si>
  <si>
    <t>TASAS FORESTALES</t>
  </si>
  <si>
    <t>LICENCIAS Y PERMISOS AMBIENTALES</t>
  </si>
  <si>
    <t>MULTAS</t>
  </si>
  <si>
    <t>TOTAL PROYECTADO PAI 2017</t>
  </si>
  <si>
    <t>PROGRAMA 1: AGUA PARA TODOS</t>
  </si>
  <si>
    <t>PROGRAMA 2: BIODIVERSIDAD: FUENTE DE VIDA</t>
  </si>
  <si>
    <t>PROGRAMA 3: ADAPTACIÓN PARA EL CRECIMIENTO VERDE</t>
  </si>
  <si>
    <t>PROYECTO 3.2 AREAS URBANAS SOSTENIBLES Y RESILIENTES</t>
  </si>
  <si>
    <t xml:space="preserve">PROGRAMA 4:  CUIDA TU NATURALEZA </t>
  </si>
  <si>
    <t>PROGRAMA 5:  HUILA TERRITORIO ORDENADO</t>
  </si>
  <si>
    <t>PROYECTO 5.1: PLANIFICACIÓN AMBIENTAL TERRITORIAL</t>
  </si>
  <si>
    <t>PROGRAMA 6: EDUCACIÓN CAMINO DE PAZ</t>
  </si>
  <si>
    <t xml:space="preserve">TOTAL </t>
  </si>
  <si>
    <t>TOTAL POR FUENTE POR AÑO</t>
  </si>
  <si>
    <t>Ejecución de acciones en gestión ambiental urbana</t>
  </si>
  <si>
    <t xml:space="preserve">Restauración de zonas urbanas (rondas hídricas, humedales) </t>
  </si>
  <si>
    <t>Conevnio Municipio Neiva</t>
  </si>
  <si>
    <t xml:space="preserve">Convenio Municipio (Pitalito y/o Palermo) </t>
  </si>
  <si>
    <t>Actualización de mapas de ruido y planes de descontaminación</t>
  </si>
  <si>
    <t>Mapas de ruido</t>
  </si>
  <si>
    <t xml:space="preserve">Estrategias urbanas para adaptación y mitigación de  los efectos del cambio climático </t>
  </si>
  <si>
    <t>Convenio Municipio de Neiva (Ornato urbano, Apoyo AVR Rural, Reforestación Urbana, Material Vegetal, Dragado Funtes Hídricas)</t>
  </si>
  <si>
    <t>Porcentaje de municipios asesorados o asistidos en la inclusión del componente ambiental en los procesos de planificación y ordenamiento territorial, con énfasis en la incorporación de las determinantes ambientales para la revisión y ajuste de los POT</t>
  </si>
  <si>
    <t>Profesional de Apoyo Formulación Ordenamiento Territorial</t>
  </si>
  <si>
    <t>Profesional de Apoyo Seguimiento a Concertación Ambiental</t>
  </si>
  <si>
    <t>Asesor POT</t>
  </si>
  <si>
    <t>Porcentaje de entes territoriales asesorados en la incorporación, planificación y ejecución de acciones relacionadas con cambio climático en el marco de los instrumentos de planificación territorial</t>
  </si>
  <si>
    <t>Asesor Cambio Climatico</t>
  </si>
  <si>
    <t xml:space="preserve">Porcentaje de avance en la Formulación de Plan de Ordenación Forestal. </t>
  </si>
  <si>
    <t xml:space="preserve">Apoyo a acciones de planificación ambiental y gestión del territorio en resguardos, cabildos  y comunidades indígenas </t>
  </si>
  <si>
    <t>No. Resguardos y/o cabildos y/o comunidades indígenas</t>
  </si>
  <si>
    <t>Convenios Resguardos Indigenas (CRIHU, Apoyo a Consultas Previas)</t>
  </si>
  <si>
    <t>Diseño de aplicación interactiva que facilite la aprehensión y conocimiento de los POT por parte de la ciudadanía</t>
  </si>
  <si>
    <t>Aplicación</t>
  </si>
  <si>
    <t>Áreas reforestadas gestionadas para la protección de cuencas abastecedoras.</t>
  </si>
  <si>
    <t>Areas protegidas registradas  con planes de manejo en ejecución</t>
  </si>
  <si>
    <t>Areas protegidas inscritas   con planes de manejo en ejecución</t>
  </si>
  <si>
    <t>Consultoría para las Áreas Protegidas</t>
  </si>
  <si>
    <t>Consultoria Ecosistemas Estratégicos</t>
  </si>
  <si>
    <t>Consultoría para los Ecosistemas Estratégicos (Páramos y Humedales)</t>
  </si>
  <si>
    <t>Asesoría, Asistencia Técnica y capacitación Ambiental para la adminsitración, promoción y gestión de las Áreas Protegidas</t>
  </si>
  <si>
    <t>Implementación de proyectos y actividades de ejecución de los PMA de las áreas protegidas</t>
  </si>
  <si>
    <t>Asesoría, Asistencia Técnica y capacitación Ambiental para la adminsitración, promoción y gestión en los ecosistemas para restauración, rehabilitación y reforestación</t>
  </si>
  <si>
    <t>Implementación de proyectos y actividades en los ecosistemas para restauración, rehabilitación y reforestación</t>
  </si>
  <si>
    <t>Asesoría y Asistencia Técnica para el manejo de especies amenazadas</t>
  </si>
  <si>
    <t>Implementación de proyectos y actividades para el manejo de especies amenazadas</t>
  </si>
  <si>
    <t>PLAN OPERATIVO ANUAL DE INVERSIONES</t>
  </si>
  <si>
    <r>
      <t xml:space="preserve">Código: </t>
    </r>
    <r>
      <rPr>
        <sz val="10"/>
        <rFont val="Arial"/>
        <family val="2"/>
      </rPr>
      <t xml:space="preserve">T-CAM-029 </t>
    </r>
  </si>
  <si>
    <r>
      <t xml:space="preserve">Versión: </t>
    </r>
    <r>
      <rPr>
        <sz val="10"/>
        <rFont val="Arial"/>
        <family val="2"/>
      </rPr>
      <t>3</t>
    </r>
  </si>
  <si>
    <r>
      <t>Fecha:</t>
    </r>
    <r>
      <rPr>
        <sz val="10"/>
        <rFont val="Arial"/>
        <family val="2"/>
      </rPr>
      <t xml:space="preserve"> 09 Abr 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</si>
</sst>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164" formatCode="_(* #,##0.00_);_(* \(#,##0.00\);_(* &quot;-&quot;??_);_(@_)"/>
    <numFmt numFmtId="165" formatCode="_(* #,##0_);_(* \(#,##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 "/>
    </font>
    <font>
      <sz val="10"/>
      <color theme="1"/>
      <name val="Arial  "/>
    </font>
    <font>
      <b/>
      <sz val="10"/>
      <name val="Arial  "/>
    </font>
    <font>
      <sz val="10"/>
      <name val="Arial  "/>
    </font>
    <font>
      <sz val="1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 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 "/>
    </font>
    <font>
      <sz val="10"/>
      <color theme="1"/>
      <name val="Arial "/>
    </font>
    <font>
      <b/>
      <sz val="10"/>
      <name val="Arial 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8" fillId="0" borderId="0"/>
  </cellStyleXfs>
  <cellXfs count="365">
    <xf numFmtId="0" fontId="0" fillId="0" borderId="0" xfId="0"/>
    <xf numFmtId="0" fontId="5" fillId="0" borderId="0" xfId="0" applyFont="1"/>
    <xf numFmtId="0" fontId="7" fillId="4" borderId="1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justify" vertical="center" wrapText="1"/>
    </xf>
    <xf numFmtId="3" fontId="5" fillId="0" borderId="0" xfId="0" applyNumberFormat="1" applyFont="1"/>
    <xf numFmtId="3" fontId="7" fillId="0" borderId="1" xfId="3" applyNumberFormat="1" applyFont="1" applyFill="1" applyBorder="1" applyAlignment="1">
      <alignment horizontal="right" vertical="center" wrapText="1"/>
    </xf>
    <xf numFmtId="0" fontId="5" fillId="0" borderId="1" xfId="0" applyFont="1" applyBorder="1"/>
    <xf numFmtId="0" fontId="7" fillId="4" borderId="1" xfId="3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center" vertical="center"/>
    </xf>
    <xf numFmtId="9" fontId="5" fillId="4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0" fontId="6" fillId="6" borderId="1" xfId="0" applyFont="1" applyFill="1" applyBorder="1" applyAlignment="1">
      <alignment horizontal="justify" vertical="center" wrapText="1"/>
    </xf>
    <xf numFmtId="0" fontId="7" fillId="0" borderId="1" xfId="3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horizontal="justify" vertical="center" wrapText="1"/>
    </xf>
    <xf numFmtId="0" fontId="7" fillId="7" borderId="1" xfId="0" applyFont="1" applyFill="1" applyBorder="1" applyAlignment="1">
      <alignment horizontal="justify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vertical="center"/>
    </xf>
    <xf numFmtId="165" fontId="4" fillId="9" borderId="1" xfId="1" applyNumberFormat="1" applyFont="1" applyFill="1" applyBorder="1" applyAlignment="1">
      <alignment horizontal="center" vertical="center"/>
    </xf>
    <xf numFmtId="3" fontId="5" fillId="10" borderId="0" xfId="0" applyNumberFormat="1" applyFont="1" applyFill="1"/>
    <xf numFmtId="3" fontId="4" fillId="0" borderId="0" xfId="0" applyNumberFormat="1" applyFont="1"/>
    <xf numFmtId="0" fontId="5" fillId="4" borderId="0" xfId="0" applyFont="1" applyFill="1"/>
    <xf numFmtId="0" fontId="5" fillId="7" borderId="0" xfId="0" applyFont="1" applyFill="1"/>
    <xf numFmtId="3" fontId="13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0" fillId="0" borderId="0" xfId="0" applyFont="1"/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3" fontId="14" fillId="6" borderId="1" xfId="3" applyNumberFormat="1" applyFont="1" applyFill="1" applyBorder="1" applyAlignment="1">
      <alignment vertical="center" wrapText="1"/>
    </xf>
    <xf numFmtId="0" fontId="0" fillId="0" borderId="1" xfId="0" applyBorder="1"/>
    <xf numFmtId="0" fontId="8" fillId="6" borderId="1" xfId="0" applyFont="1" applyFill="1" applyBorder="1" applyAlignment="1">
      <alignment horizontal="justify" vertical="center" wrapText="1"/>
    </xf>
    <xf numFmtId="3" fontId="8" fillId="0" borderId="1" xfId="3" applyNumberFormat="1" applyFont="1" applyFill="1" applyBorder="1" applyAlignment="1">
      <alignment horizontal="right" vertical="center" wrapText="1"/>
    </xf>
    <xf numFmtId="0" fontId="0" fillId="0" borderId="0" xfId="0" applyFill="1"/>
    <xf numFmtId="0" fontId="8" fillId="7" borderId="1" xfId="0" applyFont="1" applyFill="1" applyBorder="1" applyAlignment="1">
      <alignment horizontal="justify" vertical="center" wrapText="1"/>
    </xf>
    <xf numFmtId="3" fontId="8" fillId="7" borderId="1" xfId="0" applyNumberFormat="1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right" vertical="center" wrapText="1"/>
    </xf>
    <xf numFmtId="3" fontId="8" fillId="6" borderId="2" xfId="0" applyNumberFormat="1" applyFont="1" applyFill="1" applyBorder="1" applyAlignment="1">
      <alignment horizontal="right" vertical="center" wrapText="1"/>
    </xf>
    <xf numFmtId="0" fontId="0" fillId="6" borderId="0" xfId="0" applyFill="1"/>
    <xf numFmtId="9" fontId="8" fillId="0" borderId="2" xfId="2" applyFont="1" applyFill="1" applyBorder="1" applyAlignment="1">
      <alignment horizontal="right" vertical="center" wrapText="1"/>
    </xf>
    <xf numFmtId="0" fontId="8" fillId="0" borderId="1" xfId="3" applyFont="1" applyFill="1" applyBorder="1" applyAlignment="1">
      <alignment horizontal="justify" vertical="center" wrapText="1"/>
    </xf>
    <xf numFmtId="3" fontId="8" fillId="0" borderId="2" xfId="0" applyNumberFormat="1" applyFont="1" applyFill="1" applyBorder="1" applyAlignment="1">
      <alignment horizontal="right" vertical="center" wrapText="1"/>
    </xf>
    <xf numFmtId="0" fontId="0" fillId="7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/>
    </xf>
    <xf numFmtId="0" fontId="0" fillId="0" borderId="0" xfId="0" applyFont="1" applyFill="1"/>
    <xf numFmtId="165" fontId="3" fillId="9" borderId="1" xfId="1" applyNumberFormat="1" applyFont="1" applyFill="1" applyBorder="1"/>
    <xf numFmtId="165" fontId="1" fillId="9" borderId="1" xfId="1" applyNumberFormat="1" applyFont="1" applyFill="1" applyBorder="1"/>
    <xf numFmtId="3" fontId="3" fillId="10" borderId="1" xfId="0" applyNumberFormat="1" applyFont="1" applyFill="1" applyBorder="1"/>
    <xf numFmtId="0" fontId="8" fillId="0" borderId="0" xfId="0" applyFont="1" applyAlignment="1">
      <alignment vertical="center"/>
    </xf>
    <xf numFmtId="0" fontId="13" fillId="3" borderId="1" xfId="0" applyFont="1" applyFill="1" applyBorder="1" applyAlignment="1">
      <alignment horizontal="justify" vertical="center"/>
    </xf>
    <xf numFmtId="0" fontId="8" fillId="4" borderId="1" xfId="0" applyFont="1" applyFill="1" applyBorder="1" applyAlignment="1">
      <alignment horizontal="justify" vertical="center"/>
    </xf>
    <xf numFmtId="0" fontId="8" fillId="4" borderId="1" xfId="0" applyFont="1" applyFill="1" applyBorder="1" applyAlignment="1">
      <alignment vertical="center"/>
    </xf>
    <xf numFmtId="0" fontId="8" fillId="13" borderId="1" xfId="0" applyFont="1" applyFill="1" applyBorder="1" applyAlignment="1">
      <alignment horizontal="justify" vertical="center" wrapText="1"/>
    </xf>
    <xf numFmtId="3" fontId="8" fillId="13" borderId="1" xfId="0" applyNumberFormat="1" applyFont="1" applyFill="1" applyBorder="1" applyAlignment="1">
      <alignment horizontal="center" vertical="center" wrapText="1"/>
    </xf>
    <xf numFmtId="3" fontId="8" fillId="13" borderId="1" xfId="0" applyNumberFormat="1" applyFont="1" applyFill="1" applyBorder="1" applyAlignment="1">
      <alignment horizontal="right" vertical="center" wrapText="1"/>
    </xf>
    <xf numFmtId="0" fontId="8" fillId="13" borderId="1" xfId="0" applyFont="1" applyFill="1" applyBorder="1" applyAlignment="1">
      <alignment vertical="center"/>
    </xf>
    <xf numFmtId="0" fontId="8" fillId="13" borderId="1" xfId="0" applyFont="1" applyFill="1" applyBorder="1" applyAlignment="1">
      <alignment horizontal="center" vertical="center" wrapText="1"/>
    </xf>
    <xf numFmtId="3" fontId="13" fillId="9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13" fillId="9" borderId="1" xfId="0" applyNumberFormat="1" applyFont="1" applyFill="1" applyBorder="1" applyAlignment="1">
      <alignment vertical="center" wrapText="1"/>
    </xf>
    <xf numFmtId="3" fontId="13" fillId="9" borderId="1" xfId="0" applyNumberFormat="1" applyFont="1" applyFill="1" applyBorder="1" applyAlignment="1">
      <alignment horizontal="center" vertical="center"/>
    </xf>
    <xf numFmtId="3" fontId="13" fillId="1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7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3" fontId="17" fillId="9" borderId="1" xfId="1" applyNumberFormat="1" applyFont="1" applyFill="1" applyBorder="1"/>
    <xf numFmtId="3" fontId="17" fillId="10" borderId="1" xfId="0" applyNumberFormat="1" applyFont="1" applyFill="1" applyBorder="1"/>
    <xf numFmtId="0" fontId="7" fillId="4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3" fontId="18" fillId="0" borderId="0" xfId="0" applyNumberFormat="1" applyFont="1"/>
    <xf numFmtId="3" fontId="13" fillId="3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14" fillId="4" borderId="1" xfId="0" applyFont="1" applyFill="1" applyBorder="1" applyAlignment="1">
      <alignment horizontal="justify" vertical="center" wrapText="1"/>
    </xf>
    <xf numFmtId="0" fontId="14" fillId="4" borderId="1" xfId="0" applyFont="1" applyFill="1" applyBorder="1" applyAlignment="1">
      <alignment horizontal="center" vertical="center" wrapText="1"/>
    </xf>
    <xf numFmtId="3" fontId="14" fillId="4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0" fontId="14" fillId="13" borderId="1" xfId="0" applyFont="1" applyFill="1" applyBorder="1" applyAlignment="1">
      <alignment horizontal="justify" vertical="center" wrapText="1"/>
    </xf>
    <xf numFmtId="0" fontId="14" fillId="13" borderId="1" xfId="0" applyFont="1" applyFill="1" applyBorder="1" applyAlignment="1">
      <alignment horizontal="center" vertical="center" wrapText="1"/>
    </xf>
    <xf numFmtId="3" fontId="14" fillId="13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165" fontId="14" fillId="0" borderId="1" xfId="1" applyNumberFormat="1" applyFont="1" applyFill="1" applyBorder="1" applyAlignment="1">
      <alignment horizontal="right" vertical="center" wrapText="1"/>
    </xf>
    <xf numFmtId="3" fontId="14" fillId="13" borderId="1" xfId="4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justify" vertical="center" wrapText="1"/>
    </xf>
    <xf numFmtId="3" fontId="14" fillId="0" borderId="1" xfId="4" applyNumberFormat="1" applyFont="1" applyFill="1" applyBorder="1" applyAlignment="1">
      <alignment horizontal="center" vertical="center" wrapText="1"/>
    </xf>
    <xf numFmtId="0" fontId="14" fillId="13" borderId="5" xfId="0" applyFont="1" applyFill="1" applyBorder="1" applyAlignment="1">
      <alignment horizontal="justify" vertical="center" wrapText="1"/>
    </xf>
    <xf numFmtId="0" fontId="14" fillId="13" borderId="7" xfId="0" applyFont="1" applyFill="1" applyBorder="1" applyAlignment="1">
      <alignment horizontal="justify" vertical="center" wrapText="1"/>
    </xf>
    <xf numFmtId="0" fontId="10" fillId="6" borderId="1" xfId="0" applyFont="1" applyFill="1" applyBorder="1" applyAlignment="1">
      <alignment horizontal="justify" vertical="center" wrapText="1"/>
    </xf>
    <xf numFmtId="0" fontId="14" fillId="6" borderId="1" xfId="0" applyFont="1" applyFill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justify" vertical="center" wrapText="1"/>
    </xf>
    <xf numFmtId="3" fontId="10" fillId="9" borderId="1" xfId="0" applyNumberFormat="1" applyFont="1" applyFill="1" applyBorder="1" applyAlignment="1">
      <alignment vertical="center" wrapText="1"/>
    </xf>
    <xf numFmtId="3" fontId="19" fillId="9" borderId="1" xfId="0" applyNumberFormat="1" applyFont="1" applyFill="1" applyBorder="1"/>
    <xf numFmtId="3" fontId="14" fillId="10" borderId="1" xfId="0" applyNumberFormat="1" applyFont="1" applyFill="1" applyBorder="1"/>
    <xf numFmtId="0" fontId="22" fillId="0" borderId="0" xfId="0" applyFont="1"/>
    <xf numFmtId="3" fontId="23" fillId="3" borderId="1" xfId="0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justify" vertical="center" wrapText="1"/>
    </xf>
    <xf numFmtId="0" fontId="15" fillId="7" borderId="1" xfId="3" applyFont="1" applyFill="1" applyBorder="1" applyAlignment="1">
      <alignment horizontal="center" vertical="center" wrapText="1"/>
    </xf>
    <xf numFmtId="165" fontId="22" fillId="0" borderId="0" xfId="1" applyNumberFormat="1" applyFont="1" applyAlignment="1">
      <alignment vertical="center"/>
    </xf>
    <xf numFmtId="165" fontId="15" fillId="0" borderId="1" xfId="1" applyNumberFormat="1" applyFont="1" applyFill="1" applyBorder="1" applyAlignment="1">
      <alignment horizontal="right" vertical="center" wrapText="1"/>
    </xf>
    <xf numFmtId="3" fontId="15" fillId="0" borderId="1" xfId="3" applyNumberFormat="1" applyFont="1" applyFill="1" applyBorder="1" applyAlignment="1">
      <alignment horizontal="right" vertical="center" wrapText="1"/>
    </xf>
    <xf numFmtId="0" fontId="22" fillId="0" borderId="0" xfId="0" applyFont="1" applyFill="1"/>
    <xf numFmtId="0" fontId="15" fillId="7" borderId="1" xfId="0" applyFont="1" applyFill="1" applyBorder="1" applyAlignment="1">
      <alignment horizontal="justify" vertical="center" wrapText="1"/>
    </xf>
    <xf numFmtId="164" fontId="15" fillId="0" borderId="1" xfId="1" applyFont="1" applyFill="1" applyBorder="1" applyAlignment="1">
      <alignment horizontal="right" vertical="center" wrapText="1"/>
    </xf>
    <xf numFmtId="165" fontId="21" fillId="9" borderId="1" xfId="1" applyNumberFormat="1" applyFont="1" applyFill="1" applyBorder="1"/>
    <xf numFmtId="3" fontId="22" fillId="10" borderId="1" xfId="0" applyNumberFormat="1" applyFont="1" applyFill="1" applyBorder="1"/>
    <xf numFmtId="165" fontId="22" fillId="0" borderId="0" xfId="0" applyNumberFormat="1" applyFont="1"/>
    <xf numFmtId="3" fontId="22" fillId="0" borderId="0" xfId="0" applyNumberFormat="1" applyFont="1"/>
    <xf numFmtId="0" fontId="21" fillId="12" borderId="11" xfId="0" applyFont="1" applyFill="1" applyBorder="1" applyAlignment="1">
      <alignment horizontal="center" vertical="center"/>
    </xf>
    <xf numFmtId="0" fontId="21" fillId="12" borderId="12" xfId="0" applyFont="1" applyFill="1" applyBorder="1" applyAlignment="1">
      <alignment horizontal="center" vertical="center"/>
    </xf>
    <xf numFmtId="0" fontId="21" fillId="12" borderId="12" xfId="0" applyFont="1" applyFill="1" applyBorder="1" applyAlignment="1">
      <alignment horizontal="center" vertical="center" wrapText="1"/>
    </xf>
    <xf numFmtId="0" fontId="21" fillId="12" borderId="1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3" fontId="5" fillId="0" borderId="17" xfId="0" applyNumberFormat="1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/>
    </xf>
    <xf numFmtId="3" fontId="5" fillId="0" borderId="19" xfId="0" applyNumberFormat="1" applyFont="1" applyBorder="1" applyAlignment="1">
      <alignment horizontal="center"/>
    </xf>
    <xf numFmtId="0" fontId="21" fillId="12" borderId="20" xfId="0" applyFont="1" applyFill="1" applyBorder="1"/>
    <xf numFmtId="3" fontId="4" fillId="0" borderId="20" xfId="0" applyNumberFormat="1" applyFont="1" applyBorder="1" applyAlignment="1">
      <alignment horizontal="center"/>
    </xf>
    <xf numFmtId="3" fontId="10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6" fillId="3" borderId="1" xfId="3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3" fontId="7" fillId="0" borderId="1" xfId="1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justify" vertical="center" wrapText="1"/>
    </xf>
    <xf numFmtId="3" fontId="7" fillId="0" borderId="1" xfId="3" applyNumberFormat="1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horizontal="right" vertical="center" wrapText="1"/>
    </xf>
    <xf numFmtId="0" fontId="7" fillId="0" borderId="1" xfId="3" applyFont="1" applyFill="1" applyBorder="1" applyAlignment="1">
      <alignment horizontal="justify" vertical="center" wrapText="1"/>
    </xf>
    <xf numFmtId="3" fontId="7" fillId="0" borderId="1" xfId="3" applyNumberFormat="1" applyFont="1" applyFill="1" applyBorder="1" applyAlignment="1">
      <alignment vertical="center" wrapText="1"/>
    </xf>
    <xf numFmtId="0" fontId="7" fillId="16" borderId="1" xfId="3" applyFont="1" applyFill="1" applyBorder="1" applyAlignment="1">
      <alignment horizontal="justify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7" fillId="7" borderId="1" xfId="3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justify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6" fillId="9" borderId="1" xfId="3" applyNumberFormat="1" applyFont="1" applyFill="1" applyBorder="1" applyAlignment="1">
      <alignment vertical="center" wrapText="1"/>
    </xf>
    <xf numFmtId="4" fontId="6" fillId="9" borderId="1" xfId="3" applyNumberFormat="1" applyFont="1" applyFill="1" applyBorder="1" applyAlignment="1">
      <alignment vertical="center" wrapText="1"/>
    </xf>
    <xf numFmtId="3" fontId="5" fillId="9" borderId="1" xfId="1" applyNumberFormat="1" applyFont="1" applyFill="1" applyBorder="1"/>
    <xf numFmtId="3" fontId="5" fillId="9" borderId="1" xfId="0" applyNumberFormat="1" applyFont="1" applyFill="1" applyBorder="1"/>
    <xf numFmtId="0" fontId="5" fillId="0" borderId="0" xfId="0" applyFont="1" applyAlignment="1">
      <alignment horizontal="center"/>
    </xf>
    <xf numFmtId="0" fontId="8" fillId="4" borderId="1" xfId="3" applyFont="1" applyFill="1" applyBorder="1" applyAlignment="1">
      <alignment horizontal="justify" vertical="center" wrapText="1"/>
    </xf>
    <xf numFmtId="0" fontId="16" fillId="4" borderId="1" xfId="0" applyFont="1" applyFill="1" applyBorder="1" applyAlignment="1">
      <alignment horizontal="center" vertical="center"/>
    </xf>
    <xf numFmtId="3" fontId="8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/>
    </xf>
    <xf numFmtId="165" fontId="1" fillId="0" borderId="0" xfId="1" applyNumberFormat="1" applyFont="1"/>
    <xf numFmtId="3" fontId="8" fillId="0" borderId="1" xfId="3" applyNumberFormat="1" applyFont="1" applyFill="1" applyBorder="1" applyAlignment="1">
      <alignment horizontal="left"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165" fontId="1" fillId="0" borderId="0" xfId="1" applyNumberFormat="1" applyFont="1" applyFill="1"/>
    <xf numFmtId="0" fontId="8" fillId="13" borderId="1" xfId="3" applyFont="1" applyFill="1" applyBorder="1" applyAlignment="1">
      <alignment horizontal="center" vertical="center" wrapText="1"/>
    </xf>
    <xf numFmtId="164" fontId="2" fillId="0" borderId="0" xfId="1" applyFont="1" applyFill="1"/>
    <xf numFmtId="0" fontId="16" fillId="0" borderId="1" xfId="0" applyFont="1" applyFill="1" applyBorder="1" applyAlignment="1">
      <alignment horizontal="left" vertical="center" wrapText="1"/>
    </xf>
    <xf numFmtId="0" fontId="16" fillId="13" borderId="1" xfId="0" applyFont="1" applyFill="1" applyBorder="1" applyAlignment="1">
      <alignment horizontal="center" vertical="center"/>
    </xf>
    <xf numFmtId="3" fontId="16" fillId="1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center" vertical="center"/>
    </xf>
    <xf numFmtId="0" fontId="8" fillId="13" borderId="1" xfId="3" applyFont="1" applyFill="1" applyBorder="1" applyAlignment="1">
      <alignment horizontal="justify" vertical="center" wrapText="1"/>
    </xf>
    <xf numFmtId="3" fontId="8" fillId="13" borderId="1" xfId="3" applyNumberFormat="1" applyFont="1" applyFill="1" applyBorder="1" applyAlignment="1">
      <alignment horizontal="center" vertical="center" wrapText="1"/>
    </xf>
    <xf numFmtId="0" fontId="8" fillId="4" borderId="1" xfId="3" applyFont="1" applyFill="1" applyBorder="1" applyAlignment="1">
      <alignment horizontal="center" vertical="center" wrapText="1"/>
    </xf>
    <xf numFmtId="3" fontId="8" fillId="4" borderId="1" xfId="3" applyNumberFormat="1" applyFont="1" applyFill="1" applyBorder="1" applyAlignment="1">
      <alignment horizontal="center" vertical="center" wrapText="1"/>
    </xf>
    <xf numFmtId="3" fontId="24" fillId="9" borderId="1" xfId="0" applyNumberFormat="1" applyFont="1" applyFill="1" applyBorder="1"/>
    <xf numFmtId="3" fontId="3" fillId="9" borderId="1" xfId="0" applyNumberFormat="1" applyFont="1" applyFill="1" applyBorder="1"/>
    <xf numFmtId="165" fontId="0" fillId="0" borderId="0" xfId="0" applyNumberFormat="1"/>
    <xf numFmtId="0" fontId="0" fillId="0" borderId="0" xfId="0" applyAlignment="1">
      <alignment vertical="center"/>
    </xf>
    <xf numFmtId="0" fontId="16" fillId="0" borderId="0" xfId="0" applyFont="1"/>
    <xf numFmtId="3" fontId="13" fillId="0" borderId="1" xfId="3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8" fillId="0" borderId="1" xfId="3" applyNumberFormat="1" applyFont="1" applyFill="1" applyBorder="1" applyAlignment="1">
      <alignment vertical="center" wrapText="1"/>
    </xf>
    <xf numFmtId="0" fontId="8" fillId="0" borderId="1" xfId="3" applyNumberFormat="1" applyFont="1" applyFill="1" applyBorder="1" applyAlignment="1">
      <alignment horizontal="justify" vertical="center" wrapText="1"/>
    </xf>
    <xf numFmtId="165" fontId="9" fillId="0" borderId="1" xfId="1" applyNumberFormat="1" applyFont="1" applyFill="1" applyBorder="1" applyAlignment="1">
      <alignment horizontal="right" vertical="center"/>
    </xf>
    <xf numFmtId="0" fontId="14" fillId="6" borderId="1" xfId="3" applyFont="1" applyFill="1" applyBorder="1" applyAlignment="1">
      <alignment horizontal="justify" vertical="center" wrapText="1"/>
    </xf>
    <xf numFmtId="0" fontId="14" fillId="6" borderId="1" xfId="3" applyFont="1" applyFill="1" applyBorder="1" applyAlignment="1">
      <alignment horizontal="center" vertical="center" wrapText="1"/>
    </xf>
    <xf numFmtId="3" fontId="14" fillId="6" borderId="1" xfId="3" applyNumberFormat="1" applyFont="1" applyFill="1" applyBorder="1" applyAlignment="1">
      <alignment horizontal="center" vertical="center" wrapText="1"/>
    </xf>
    <xf numFmtId="165" fontId="24" fillId="9" borderId="1" xfId="1" applyNumberFormat="1" applyFont="1" applyFill="1" applyBorder="1"/>
    <xf numFmtId="3" fontId="16" fillId="10" borderId="1" xfId="0" applyNumberFormat="1" applyFont="1" applyFill="1" applyBorder="1"/>
    <xf numFmtId="6" fontId="0" fillId="0" borderId="0" xfId="0" applyNumberFormat="1" applyAlignment="1">
      <alignment vertical="center"/>
    </xf>
    <xf numFmtId="0" fontId="7" fillId="0" borderId="1" xfId="3" applyFont="1" applyFill="1" applyBorder="1" applyAlignment="1">
      <alignment horizontal="justify" vertical="top" wrapText="1"/>
    </xf>
    <xf numFmtId="0" fontId="5" fillId="0" borderId="0" xfId="0" applyFont="1" applyFill="1"/>
    <xf numFmtId="0" fontId="0" fillId="0" borderId="1" xfId="0" applyFill="1" applyBorder="1"/>
    <xf numFmtId="0" fontId="16" fillId="0" borderId="0" xfId="0" applyFont="1" applyAlignment="1">
      <alignment vertical="center"/>
    </xf>
    <xf numFmtId="3" fontId="13" fillId="3" borderId="1" xfId="0" applyNumberFormat="1" applyFont="1" applyFill="1" applyBorder="1" applyAlignment="1">
      <alignment horizontal="center" vertical="center" wrapText="1"/>
    </xf>
    <xf numFmtId="3" fontId="5" fillId="10" borderId="1" xfId="0" applyNumberFormat="1" applyFont="1" applyFill="1" applyBorder="1"/>
    <xf numFmtId="3" fontId="13" fillId="3" borderId="1" xfId="0" applyNumberFormat="1" applyFont="1" applyFill="1" applyBorder="1" applyAlignment="1">
      <alignment horizontal="center" vertical="center" wrapText="1"/>
    </xf>
    <xf numFmtId="3" fontId="26" fillId="6" borderId="1" xfId="3" applyNumberFormat="1" applyFont="1" applyFill="1" applyBorder="1" applyAlignment="1">
      <alignment vertical="center" wrapText="1"/>
    </xf>
    <xf numFmtId="3" fontId="26" fillId="6" borderId="0" xfId="3" applyNumberFormat="1" applyFont="1" applyFill="1" applyAlignment="1">
      <alignment vertical="center" wrapText="1"/>
    </xf>
    <xf numFmtId="3" fontId="14" fillId="6" borderId="0" xfId="3" applyNumberFormat="1" applyFont="1" applyFill="1" applyAlignment="1">
      <alignment vertical="center" wrapText="1"/>
    </xf>
    <xf numFmtId="3" fontId="10" fillId="6" borderId="1" xfId="3" applyNumberFormat="1" applyFont="1" applyFill="1" applyBorder="1" applyAlignment="1">
      <alignment horizontal="center" vertical="center" wrapText="1"/>
    </xf>
    <xf numFmtId="3" fontId="10" fillId="17" borderId="1" xfId="3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vertical="center" wrapText="1"/>
    </xf>
    <xf numFmtId="3" fontId="10" fillId="18" borderId="1" xfId="3" applyNumberFormat="1" applyFont="1" applyFill="1" applyBorder="1" applyAlignment="1">
      <alignment horizontal="center" vertical="center" wrapText="1"/>
    </xf>
    <xf numFmtId="3" fontId="14" fillId="6" borderId="0" xfId="3" applyNumberFormat="1" applyFont="1" applyFill="1" applyAlignment="1">
      <alignment horizontal="center" vertical="center" wrapText="1"/>
    </xf>
    <xf numFmtId="3" fontId="14" fillId="17" borderId="1" xfId="3" applyNumberFormat="1" applyFont="1" applyFill="1" applyBorder="1" applyAlignment="1">
      <alignment horizontal="center" vertical="center" wrapText="1"/>
    </xf>
    <xf numFmtId="0" fontId="10" fillId="17" borderId="1" xfId="3" applyFont="1" applyFill="1" applyBorder="1" applyAlignment="1">
      <alignment horizontal="justify" vertical="center"/>
    </xf>
    <xf numFmtId="3" fontId="10" fillId="17" borderId="1" xfId="3" applyNumberFormat="1" applyFont="1" applyFill="1" applyBorder="1" applyAlignment="1">
      <alignment vertical="center" wrapText="1"/>
    </xf>
    <xf numFmtId="165" fontId="1" fillId="19" borderId="1" xfId="1" applyNumberFormat="1" applyFont="1" applyFill="1" applyBorder="1"/>
    <xf numFmtId="3" fontId="14" fillId="17" borderId="1" xfId="3" applyNumberFormat="1" applyFont="1" applyFill="1" applyBorder="1" applyAlignment="1">
      <alignment vertical="center" wrapText="1"/>
    </xf>
    <xf numFmtId="3" fontId="14" fillId="17" borderId="0" xfId="3" applyNumberFormat="1" applyFont="1" applyFill="1" applyAlignment="1">
      <alignment vertical="center" wrapText="1"/>
    </xf>
    <xf numFmtId="0" fontId="14" fillId="6" borderId="1" xfId="3" applyFont="1" applyFill="1" applyBorder="1" applyAlignment="1">
      <alignment horizontal="justify" vertical="center"/>
    </xf>
    <xf numFmtId="3" fontId="14" fillId="11" borderId="1" xfId="3" applyNumberFormat="1" applyFont="1" applyFill="1" applyBorder="1" applyAlignment="1">
      <alignment vertical="center" wrapText="1"/>
    </xf>
    <xf numFmtId="3" fontId="14" fillId="0" borderId="1" xfId="3" applyNumberFormat="1" applyFont="1" applyFill="1" applyBorder="1" applyAlignment="1">
      <alignment vertical="center" wrapText="1"/>
    </xf>
    <xf numFmtId="165" fontId="1" fillId="0" borderId="1" xfId="1" applyNumberFormat="1" applyFont="1" applyBorder="1"/>
    <xf numFmtId="165" fontId="1" fillId="0" borderId="1" xfId="1" applyNumberFormat="1" applyFont="1" applyBorder="1" applyAlignment="1">
      <alignment vertical="center"/>
    </xf>
    <xf numFmtId="165" fontId="1" fillId="19" borderId="1" xfId="1" applyNumberFormat="1" applyFont="1" applyFill="1" applyBorder="1" applyAlignment="1">
      <alignment vertical="center"/>
    </xf>
    <xf numFmtId="3" fontId="10" fillId="17" borderId="0" xfId="3" applyNumberFormat="1" applyFont="1" applyFill="1" applyAlignment="1">
      <alignment vertical="center" wrapText="1"/>
    </xf>
    <xf numFmtId="3" fontId="8" fillId="6" borderId="1" xfId="3" applyNumberFormat="1" applyFont="1" applyFill="1" applyBorder="1" applyAlignment="1">
      <alignment vertical="center" wrapText="1"/>
    </xf>
    <xf numFmtId="0" fontId="10" fillId="11" borderId="1" xfId="3" applyFont="1" applyFill="1" applyBorder="1" applyAlignment="1">
      <alignment horizontal="justify" vertical="center"/>
    </xf>
    <xf numFmtId="3" fontId="10" fillId="11" borderId="1" xfId="3" applyNumberFormat="1" applyFont="1" applyFill="1" applyBorder="1" applyAlignment="1">
      <alignment vertical="center" wrapText="1"/>
    </xf>
    <xf numFmtId="165" fontId="3" fillId="2" borderId="1" xfId="1" applyNumberFormat="1" applyFont="1" applyFill="1" applyBorder="1"/>
    <xf numFmtId="165" fontId="3" fillId="11" borderId="1" xfId="1" applyNumberFormat="1" applyFont="1" applyFill="1" applyBorder="1"/>
    <xf numFmtId="3" fontId="10" fillId="0" borderId="1" xfId="3" applyNumberFormat="1" applyFont="1" applyFill="1" applyBorder="1" applyAlignment="1">
      <alignment vertical="center" wrapText="1"/>
    </xf>
    <xf numFmtId="3" fontId="13" fillId="20" borderId="1" xfId="3" applyNumberFormat="1" applyFont="1" applyFill="1" applyBorder="1" applyAlignment="1">
      <alignment vertical="center" wrapText="1"/>
    </xf>
    <xf numFmtId="3" fontId="13" fillId="17" borderId="1" xfId="3" applyNumberFormat="1" applyFont="1" applyFill="1" applyBorder="1" applyAlignment="1">
      <alignment vertical="center" wrapText="1"/>
    </xf>
    <xf numFmtId="3" fontId="13" fillId="17" borderId="6" xfId="3" applyNumberFormat="1" applyFont="1" applyFill="1" applyBorder="1" applyAlignment="1">
      <alignment vertical="center" wrapText="1"/>
    </xf>
    <xf numFmtId="3" fontId="13" fillId="17" borderId="0" xfId="3" applyNumberFormat="1" applyFont="1" applyFill="1" applyAlignment="1">
      <alignment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14" borderId="1" xfId="0" applyNumberFormat="1" applyFont="1" applyFill="1" applyBorder="1" applyAlignment="1">
      <alignment horizontal="center" vertical="center" wrapText="1"/>
    </xf>
    <xf numFmtId="9" fontId="16" fillId="4" borderId="1" xfId="2" applyFont="1" applyFill="1" applyBorder="1" applyAlignment="1">
      <alignment horizontal="center" vertical="center"/>
    </xf>
    <xf numFmtId="9" fontId="16" fillId="13" borderId="1" xfId="2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/>
    </xf>
    <xf numFmtId="9" fontId="16" fillId="0" borderId="1" xfId="2" applyFont="1" applyFill="1" applyBorder="1" applyAlignment="1">
      <alignment horizontal="center" vertical="center"/>
    </xf>
    <xf numFmtId="9" fontId="16" fillId="13" borderId="1" xfId="2" applyFont="1" applyFill="1" applyBorder="1" applyAlignment="1">
      <alignment horizontal="justify" vertical="center"/>
    </xf>
    <xf numFmtId="0" fontId="16" fillId="0" borderId="0" xfId="0" applyFont="1" applyAlignment="1">
      <alignment wrapText="1"/>
    </xf>
    <xf numFmtId="3" fontId="24" fillId="9" borderId="1" xfId="0" applyNumberFormat="1" applyFont="1" applyFill="1" applyBorder="1" applyAlignment="1">
      <alignment horizontal="right"/>
    </xf>
    <xf numFmtId="0" fontId="16" fillId="0" borderId="0" xfId="0" applyFont="1" applyFill="1"/>
    <xf numFmtId="0" fontId="16" fillId="6" borderId="0" xfId="0" applyFont="1" applyFill="1"/>
    <xf numFmtId="0" fontId="8" fillId="5" borderId="1" xfId="0" applyFont="1" applyFill="1" applyBorder="1" applyAlignment="1">
      <alignment horizontal="justify" vertical="center" wrapText="1"/>
    </xf>
    <xf numFmtId="164" fontId="16" fillId="0" borderId="0" xfId="1" applyFont="1" applyFill="1"/>
    <xf numFmtId="0" fontId="8" fillId="21" borderId="1" xfId="0" applyFont="1" applyFill="1" applyBorder="1" applyAlignment="1">
      <alignment horizontal="justify" vertical="center" wrapText="1"/>
    </xf>
    <xf numFmtId="164" fontId="16" fillId="6" borderId="0" xfId="1" applyFont="1" applyFill="1"/>
    <xf numFmtId="3" fontId="8" fillId="0" borderId="1" xfId="0" applyNumberFormat="1" applyFont="1" applyFill="1" applyBorder="1" applyAlignment="1">
      <alignment vertical="center" wrapText="1"/>
    </xf>
    <xf numFmtId="0" fontId="8" fillId="22" borderId="1" xfId="0" applyFont="1" applyFill="1" applyBorder="1" applyAlignment="1">
      <alignment horizontal="justify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8" fillId="6" borderId="1" xfId="3" applyFont="1" applyFill="1" applyBorder="1" applyAlignment="1">
      <alignment horizontal="justify" vertical="center" wrapText="1"/>
    </xf>
    <xf numFmtId="0" fontId="8" fillId="6" borderId="0" xfId="0" applyFont="1" applyFill="1" applyAlignment="1">
      <alignment horizontal="center" vertical="center"/>
    </xf>
    <xf numFmtId="0" fontId="8" fillId="6" borderId="1" xfId="0" applyFont="1" applyFill="1" applyBorder="1" applyAlignment="1">
      <alignment vertical="center"/>
    </xf>
    <xf numFmtId="0" fontId="8" fillId="6" borderId="0" xfId="0" applyFont="1" applyFill="1" applyAlignment="1">
      <alignment vertical="center"/>
    </xf>
    <xf numFmtId="0" fontId="8" fillId="6" borderId="4" xfId="0" applyFont="1" applyFill="1" applyBorder="1" applyAlignment="1">
      <alignment horizontal="left" vertical="center" wrapText="1"/>
    </xf>
    <xf numFmtId="3" fontId="8" fillId="6" borderId="1" xfId="0" applyNumberFormat="1" applyFont="1" applyFill="1" applyBorder="1" applyAlignment="1">
      <alignment horizontal="center" vertical="center"/>
    </xf>
    <xf numFmtId="3" fontId="13" fillId="6" borderId="1" xfId="0" applyNumberFormat="1" applyFont="1" applyFill="1" applyBorder="1" applyAlignment="1">
      <alignment horizontal="center" vertical="center" wrapText="1"/>
    </xf>
    <xf numFmtId="3" fontId="13" fillId="10" borderId="1" xfId="0" applyNumberFormat="1" applyFont="1" applyFill="1" applyBorder="1" applyAlignment="1">
      <alignment vertical="center"/>
    </xf>
    <xf numFmtId="0" fontId="18" fillId="0" borderId="0" xfId="0" applyFont="1"/>
    <xf numFmtId="3" fontId="8" fillId="4" borderId="1" xfId="0" applyNumberFormat="1" applyFont="1" applyFill="1" applyBorder="1" applyAlignment="1">
      <alignment horizontal="center" vertical="center"/>
    </xf>
    <xf numFmtId="0" fontId="18" fillId="15" borderId="0" xfId="0" applyFont="1" applyFill="1"/>
    <xf numFmtId="0" fontId="18" fillId="2" borderId="0" xfId="0" applyFont="1" applyFill="1"/>
    <xf numFmtId="0" fontId="8" fillId="6" borderId="1" xfId="0" applyFont="1" applyFill="1" applyBorder="1" applyAlignment="1">
      <alignment horizontal="left" vertical="center" wrapText="1"/>
    </xf>
    <xf numFmtId="0" fontId="18" fillId="6" borderId="0" xfId="0" applyFont="1" applyFill="1"/>
    <xf numFmtId="165" fontId="17" fillId="9" borderId="1" xfId="1" applyNumberFormat="1" applyFont="1" applyFill="1" applyBorder="1"/>
    <xf numFmtId="0" fontId="18" fillId="0" borderId="0" xfId="0" applyFont="1" applyAlignment="1">
      <alignment horizontal="left"/>
    </xf>
    <xf numFmtId="0" fontId="10" fillId="8" borderId="1" xfId="3" applyFont="1" applyFill="1" applyBorder="1" applyAlignment="1">
      <alignment horizontal="right" vertical="center" wrapText="1"/>
    </xf>
    <xf numFmtId="0" fontId="4" fillId="8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23" fillId="3" borderId="1" xfId="3" applyFont="1" applyFill="1" applyBorder="1" applyAlignment="1">
      <alignment horizontal="center" vertical="center" wrapText="1"/>
    </xf>
    <xf numFmtId="3" fontId="23" fillId="3" borderId="1" xfId="3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21" fillId="12" borderId="8" xfId="0" applyFont="1" applyFill="1" applyBorder="1" applyAlignment="1">
      <alignment horizontal="center"/>
    </xf>
    <xf numFmtId="0" fontId="21" fillId="12" borderId="9" xfId="0" applyFont="1" applyFill="1" applyBorder="1" applyAlignment="1">
      <alignment horizontal="center"/>
    </xf>
    <xf numFmtId="0" fontId="21" fillId="12" borderId="10" xfId="0" applyFont="1" applyFill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6" fillId="8" borderId="1" xfId="0" applyFont="1" applyFill="1" applyBorder="1" applyAlignment="1">
      <alignment horizontal="right" vertical="center"/>
    </xf>
    <xf numFmtId="3" fontId="13" fillId="3" borderId="2" xfId="0" applyNumberFormat="1" applyFont="1" applyFill="1" applyBorder="1" applyAlignment="1">
      <alignment horizontal="center" vertical="center" wrapText="1"/>
    </xf>
    <xf numFmtId="3" fontId="13" fillId="3" borderId="3" xfId="0" applyNumberFormat="1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right"/>
    </xf>
    <xf numFmtId="0" fontId="13" fillId="14" borderId="5" xfId="0" applyFont="1" applyFill="1" applyBorder="1" applyAlignment="1">
      <alignment horizontal="center" vertical="center" wrapText="1"/>
    </xf>
    <xf numFmtId="0" fontId="13" fillId="14" borderId="6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 wrapText="1"/>
    </xf>
    <xf numFmtId="3" fontId="13" fillId="14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center" vertical="center" wrapText="1"/>
    </xf>
    <xf numFmtId="3" fontId="13" fillId="3" borderId="1" xfId="3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3" fontId="6" fillId="3" borderId="1" xfId="3" applyNumberFormat="1" applyFont="1" applyFill="1" applyBorder="1" applyAlignment="1">
      <alignment horizontal="center" vertical="center" wrapText="1"/>
    </xf>
    <xf numFmtId="3" fontId="14" fillId="6" borderId="1" xfId="3" applyNumberFormat="1" applyFont="1" applyFill="1" applyBorder="1" applyAlignment="1">
      <alignment horizontal="center" vertical="center" wrapText="1"/>
    </xf>
    <xf numFmtId="3" fontId="13" fillId="17" borderId="1" xfId="3" applyNumberFormat="1" applyFont="1" applyFill="1" applyBorder="1" applyAlignment="1">
      <alignment horizontal="center" vertical="center" wrapText="1"/>
    </xf>
    <xf numFmtId="3" fontId="10" fillId="6" borderId="1" xfId="3" applyNumberFormat="1" applyFont="1" applyFill="1" applyBorder="1" applyAlignment="1">
      <alignment horizontal="center" vertical="center" wrapText="1"/>
    </xf>
    <xf numFmtId="3" fontId="25" fillId="6" borderId="1" xfId="3" applyNumberFormat="1" applyFont="1" applyFill="1" applyBorder="1" applyAlignment="1">
      <alignment horizontal="center" vertical="center" wrapText="1"/>
    </xf>
    <xf numFmtId="3" fontId="26" fillId="6" borderId="1" xfId="3" applyNumberFormat="1" applyFont="1" applyFill="1" applyBorder="1" applyAlignment="1">
      <alignment horizontal="center" vertical="center" wrapText="1"/>
    </xf>
    <xf numFmtId="3" fontId="26" fillId="11" borderId="1" xfId="3" applyNumberFormat="1" applyFont="1" applyFill="1" applyBorder="1" applyAlignment="1">
      <alignment horizontal="center" vertical="center" wrapText="1"/>
    </xf>
    <xf numFmtId="164" fontId="22" fillId="0" borderId="0" xfId="1" applyFont="1" applyFill="1"/>
    <xf numFmtId="9" fontId="22" fillId="0" borderId="0" xfId="0" applyNumberFormat="1" applyFont="1" applyFill="1"/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8" fillId="0" borderId="0" xfId="0" applyFont="1" applyFill="1"/>
    <xf numFmtId="0" fontId="8" fillId="0" borderId="4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 vertical="center" wrapText="1"/>
    </xf>
    <xf numFmtId="0" fontId="13" fillId="8" borderId="1" xfId="3" applyFont="1" applyFill="1" applyBorder="1" applyAlignment="1">
      <alignment horizontal="right" vertical="center" wrapText="1"/>
    </xf>
    <xf numFmtId="3" fontId="24" fillId="10" borderId="1" xfId="0" applyNumberFormat="1" applyFont="1" applyFill="1" applyBorder="1"/>
    <xf numFmtId="0" fontId="16" fillId="6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3" fillId="23" borderId="24" xfId="0" applyFont="1" applyFill="1" applyBorder="1" applyAlignment="1">
      <alignment horizontal="left" vertical="center" wrapText="1"/>
    </xf>
    <xf numFmtId="0" fontId="13" fillId="23" borderId="25" xfId="0" applyFont="1" applyFill="1" applyBorder="1" applyAlignment="1">
      <alignment horizontal="left" vertical="center" wrapText="1"/>
    </xf>
    <xf numFmtId="0" fontId="13" fillId="23" borderId="16" xfId="0" applyFont="1" applyFill="1" applyBorder="1" applyAlignment="1">
      <alignment horizontal="left" vertical="center" wrapText="1"/>
    </xf>
    <xf numFmtId="0" fontId="13" fillId="23" borderId="17" xfId="0" applyFont="1" applyFill="1" applyBorder="1" applyAlignment="1">
      <alignment horizontal="left" vertical="center" wrapText="1"/>
    </xf>
    <xf numFmtId="0" fontId="13" fillId="23" borderId="18" xfId="0" applyFont="1" applyFill="1" applyBorder="1" applyAlignment="1">
      <alignment horizontal="left" vertical="center" wrapText="1"/>
    </xf>
    <xf numFmtId="0" fontId="13" fillId="23" borderId="19" xfId="0" applyFont="1" applyFill="1" applyBorder="1" applyAlignment="1">
      <alignment horizontal="left" vertical="center" wrapText="1"/>
    </xf>
    <xf numFmtId="0" fontId="5" fillId="8" borderId="0" xfId="0" applyFont="1" applyFill="1"/>
    <xf numFmtId="0" fontId="25" fillId="8" borderId="21" xfId="0" applyFont="1" applyFill="1" applyBorder="1" applyAlignment="1">
      <alignment horizontal="center" vertical="center" wrapText="1"/>
    </xf>
    <xf numFmtId="0" fontId="25" fillId="8" borderId="22" xfId="0" applyFont="1" applyFill="1" applyBorder="1" applyAlignment="1">
      <alignment horizontal="center" vertical="center" wrapText="1"/>
    </xf>
    <xf numFmtId="0" fontId="25" fillId="8" borderId="23" xfId="0" applyFont="1" applyFill="1" applyBorder="1" applyAlignment="1">
      <alignment horizontal="center" vertical="center" wrapText="1"/>
    </xf>
    <xf numFmtId="0" fontId="25" fillId="8" borderId="26" xfId="0" applyFont="1" applyFill="1" applyBorder="1" applyAlignment="1">
      <alignment horizontal="center" vertical="center" wrapText="1"/>
    </xf>
    <xf numFmtId="0" fontId="25" fillId="8" borderId="0" xfId="0" applyFont="1" applyFill="1" applyBorder="1" applyAlignment="1">
      <alignment horizontal="center" vertical="center" wrapText="1"/>
    </xf>
    <xf numFmtId="0" fontId="25" fillId="8" borderId="27" xfId="0" applyFont="1" applyFill="1" applyBorder="1" applyAlignment="1">
      <alignment horizontal="center" vertical="center" wrapText="1"/>
    </xf>
    <xf numFmtId="0" fontId="25" fillId="8" borderId="28" xfId="0" applyFont="1" applyFill="1" applyBorder="1" applyAlignment="1">
      <alignment horizontal="center" vertical="center" wrapText="1"/>
    </xf>
    <xf numFmtId="0" fontId="25" fillId="8" borderId="29" xfId="0" applyFont="1" applyFill="1" applyBorder="1" applyAlignment="1">
      <alignment horizontal="center" vertical="center" wrapText="1"/>
    </xf>
    <xf numFmtId="0" fontId="25" fillId="8" borderId="3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13" fillId="0" borderId="3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24" fillId="0" borderId="1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13" fillId="23" borderId="32" xfId="0" applyFont="1" applyFill="1" applyBorder="1" applyAlignment="1">
      <alignment horizontal="left" vertical="center" wrapText="1"/>
    </xf>
    <xf numFmtId="0" fontId="13" fillId="23" borderId="33" xfId="0" applyFont="1" applyFill="1" applyBorder="1" applyAlignment="1">
      <alignment horizontal="left" vertical="center" wrapText="1"/>
    </xf>
    <xf numFmtId="0" fontId="13" fillId="23" borderId="34" xfId="0" applyFont="1" applyFill="1" applyBorder="1" applyAlignment="1">
      <alignment horizontal="left" vertical="center" wrapText="1"/>
    </xf>
    <xf numFmtId="0" fontId="13" fillId="23" borderId="35" xfId="0" applyFont="1" applyFill="1" applyBorder="1" applyAlignment="1">
      <alignment horizontal="left" vertical="center" wrapText="1"/>
    </xf>
    <xf numFmtId="0" fontId="13" fillId="23" borderId="36" xfId="0" applyFont="1" applyFill="1" applyBorder="1" applyAlignment="1">
      <alignment horizontal="left" vertical="center" wrapText="1"/>
    </xf>
    <xf numFmtId="0" fontId="13" fillId="23" borderId="37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</cellXfs>
  <cellStyles count="5">
    <cellStyle name="Millares" xfId="1" builtinId="3"/>
    <cellStyle name="Normal" xfId="0" builtinId="0"/>
    <cellStyle name="Normal 2 2" xfId="3"/>
    <cellStyle name="Normal 4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458931</xdr:colOff>
      <xdr:row>0</xdr:row>
      <xdr:rowOff>0</xdr:rowOff>
    </xdr:from>
    <xdr:to>
      <xdr:col>0</xdr:col>
      <xdr:colOff>1459056</xdr:colOff>
      <xdr:row>3</xdr:row>
      <xdr:rowOff>70331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458931" y="0"/>
          <a:ext cx="1000125" cy="57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0</xdr:row>
      <xdr:rowOff>38100</xdr:rowOff>
    </xdr:from>
    <xdr:to>
      <xdr:col>0</xdr:col>
      <xdr:colOff>1619250</xdr:colOff>
      <xdr:row>3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619125" y="38100"/>
          <a:ext cx="10001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0</xdr:row>
      <xdr:rowOff>38100</xdr:rowOff>
    </xdr:from>
    <xdr:to>
      <xdr:col>0</xdr:col>
      <xdr:colOff>1619250</xdr:colOff>
      <xdr:row>3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619125" y="38100"/>
          <a:ext cx="10001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0</xdr:row>
      <xdr:rowOff>38100</xdr:rowOff>
    </xdr:from>
    <xdr:to>
      <xdr:col>0</xdr:col>
      <xdr:colOff>1619250</xdr:colOff>
      <xdr:row>3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619125" y="38100"/>
          <a:ext cx="10001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0</xdr:row>
      <xdr:rowOff>38100</xdr:rowOff>
    </xdr:from>
    <xdr:to>
      <xdr:col>0</xdr:col>
      <xdr:colOff>1619250</xdr:colOff>
      <xdr:row>3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619125" y="38100"/>
          <a:ext cx="1000125" cy="57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0</xdr:row>
      <xdr:rowOff>38100</xdr:rowOff>
    </xdr:from>
    <xdr:to>
      <xdr:col>0</xdr:col>
      <xdr:colOff>1619250</xdr:colOff>
      <xdr:row>3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619125" y="38100"/>
          <a:ext cx="10001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0</xdr:row>
      <xdr:rowOff>38100</xdr:rowOff>
    </xdr:from>
    <xdr:to>
      <xdr:col>0</xdr:col>
      <xdr:colOff>1619250</xdr:colOff>
      <xdr:row>3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619125" y="38100"/>
          <a:ext cx="10001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0</xdr:row>
      <xdr:rowOff>38100</xdr:rowOff>
    </xdr:from>
    <xdr:to>
      <xdr:col>0</xdr:col>
      <xdr:colOff>1619250</xdr:colOff>
      <xdr:row>3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619125" y="38100"/>
          <a:ext cx="10001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0</xdr:row>
      <xdr:rowOff>38100</xdr:rowOff>
    </xdr:from>
    <xdr:to>
      <xdr:col>0</xdr:col>
      <xdr:colOff>1619250</xdr:colOff>
      <xdr:row>3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619125" y="38100"/>
          <a:ext cx="10001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0</xdr:row>
      <xdr:rowOff>38100</xdr:rowOff>
    </xdr:from>
    <xdr:to>
      <xdr:col>0</xdr:col>
      <xdr:colOff>1619250</xdr:colOff>
      <xdr:row>3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619125" y="38100"/>
          <a:ext cx="10001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0</xdr:row>
      <xdr:rowOff>38100</xdr:rowOff>
    </xdr:from>
    <xdr:to>
      <xdr:col>0</xdr:col>
      <xdr:colOff>1619250</xdr:colOff>
      <xdr:row>3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619125" y="38100"/>
          <a:ext cx="10001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0</xdr:row>
      <xdr:rowOff>38100</xdr:rowOff>
    </xdr:from>
    <xdr:to>
      <xdr:col>0</xdr:col>
      <xdr:colOff>1619250</xdr:colOff>
      <xdr:row>3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619125" y="38100"/>
          <a:ext cx="10001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hoyos\AppData\Local\Microsoft\Windows\Temporary%20Internet%20Files\Content.Outlook\7J0TTYS4\Formato%20para%20matriz%20de%20costos%20RED%20TIFF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hoyos\AppData\Local\Microsoft\Windows\Temporary%20Internet%20Files\Content.Outlook\7J0TTYS4\METAS%20-%20ACIVID%20-%20TAREAS%20Revisa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hoyos.CAM\Downloads\propuesta%20PRESUPUESTO%202017%20POR%20PROYECTO%20cambios%2012011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hoyos.CAM\Downloads\CONSOLIDADO%20PRESUPUESTO%202017%20POR%20PROYECTO%20NOV%2016-16%203.1%20y%206.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ortes.CAM\Downloads\PRESUPUESTO%202017%20PROYECTOS%20SRC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M\2017\SGA\POAI\L.Vargas-F.Medina%20P%203-1;%20P%206-2%20AJUSTADO%20ENE%2020-17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4">
          <cell r="A4" t="str">
            <v>Mano de Obra Calificada</v>
          </cell>
        </row>
        <row r="5">
          <cell r="A5" t="str">
            <v>Mano de Obra No Calificada</v>
          </cell>
        </row>
        <row r="6">
          <cell r="A6" t="str">
            <v>Insumos y Materiales</v>
          </cell>
        </row>
        <row r="7">
          <cell r="A7" t="str">
            <v>Equipos</v>
          </cell>
        </row>
        <row r="8">
          <cell r="A8" t="str">
            <v>Maquinaria</v>
          </cell>
        </row>
        <row r="9">
          <cell r="A9" t="str">
            <v>Herramientas</v>
          </cell>
        </row>
        <row r="10">
          <cell r="A10" t="str">
            <v>Divulgación y Capacitacion</v>
          </cell>
        </row>
        <row r="11">
          <cell r="A11" t="str">
            <v>Impresos y Publicaciones</v>
          </cell>
        </row>
        <row r="12">
          <cell r="A12" t="str">
            <v>Transporte, Fletes y Acarreos</v>
          </cell>
        </row>
        <row r="13">
          <cell r="A13" t="str">
            <v>Viaticos y Gastos de Viaje</v>
          </cell>
        </row>
        <row r="14">
          <cell r="A14" t="str">
            <v>Mantenimiento de Equipos y Maquinaria</v>
          </cell>
        </row>
        <row r="15">
          <cell r="A15" t="str">
            <v>Cartografia</v>
          </cell>
        </row>
        <row r="17">
          <cell r="A17" t="str">
            <v>Otros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4">
          <cell r="A4" t="str">
            <v>Mano de Obra Calificada</v>
          </cell>
        </row>
        <row r="5">
          <cell r="A5" t="str">
            <v>Mano de Obra No Calificada</v>
          </cell>
        </row>
        <row r="6">
          <cell r="A6" t="str">
            <v>Insumos y Materiales</v>
          </cell>
        </row>
        <row r="7">
          <cell r="A7" t="str">
            <v>Equipos</v>
          </cell>
        </row>
        <row r="8">
          <cell r="A8" t="str">
            <v>Maquinaria</v>
          </cell>
        </row>
        <row r="9">
          <cell r="A9" t="str">
            <v>Herramientas</v>
          </cell>
        </row>
        <row r="10">
          <cell r="A10" t="str">
            <v>Divulgación y Capacitacion</v>
          </cell>
        </row>
        <row r="11">
          <cell r="A11" t="str">
            <v>Impresos y Publicaciones</v>
          </cell>
        </row>
        <row r="12">
          <cell r="A12" t="str">
            <v>Transporte, Fletes y Acarreos</v>
          </cell>
        </row>
        <row r="13">
          <cell r="A13" t="str">
            <v>Viaticos y Gastos de Viaje</v>
          </cell>
        </row>
        <row r="14">
          <cell r="A14" t="str">
            <v>Mantenimiento de Equipos y Maquinaria</v>
          </cell>
        </row>
        <row r="15">
          <cell r="A15" t="str">
            <v>Cartografia</v>
          </cell>
        </row>
        <row r="17">
          <cell r="A17" t="str">
            <v>Otros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 1.1"/>
      <sheetName val="PROYECTO 1.2"/>
      <sheetName val="PROYECTO 1.3"/>
      <sheetName val="PROYECTO 2.1"/>
      <sheetName val="PROYECTO 2.2"/>
      <sheetName val="SEGUIM. PROYECTO 2.1 "/>
      <sheetName val="SEGUIM. PROYECTO 2.2 "/>
      <sheetName val="PROYECTO 3,1 (3)"/>
      <sheetName val="PROYECTO 3.2"/>
      <sheetName val="PROYECTO 4.1"/>
      <sheetName val="PROYECTO 5.1"/>
      <sheetName val="PROYECTO 5.2 (2)"/>
      <sheetName val="PROYECTO 6.1 (2)"/>
      <sheetName val="PROYECTO 6.1"/>
      <sheetName val="PROYECTO 6.2 (3)"/>
      <sheetName val="FUENTES Y US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</sheetData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 1.1"/>
      <sheetName val="PROYECTO 1.2"/>
      <sheetName val="PROYECTO 1.3"/>
      <sheetName val="PROYECTO 2.1"/>
      <sheetName val="PROYECTO 2.2"/>
      <sheetName val="PROYECTO 3.2"/>
      <sheetName val="PROYECTO 4.1"/>
      <sheetName val="PROYECTO 5.1"/>
      <sheetName val="PROYECTO 5.2 (2)"/>
      <sheetName val="PROYECTO 6.1 (2)"/>
      <sheetName val="PROYECTO 6.1"/>
      <sheetName val="PROYECTO 6.2 (3)"/>
      <sheetName val="FUENTES Y U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 1.1 (2)"/>
      <sheetName val="PROYECTO 1.2 (2)"/>
      <sheetName val="PROYECTO 1.3 (2)"/>
      <sheetName val="PROYECTO 2.1 (2)"/>
      <sheetName val="PROYECTO 2.2 (2)"/>
      <sheetName val="PROYECTO 3,1 (4)"/>
      <sheetName val="PROYECTO 3.2 (2)"/>
      <sheetName val="PROYECTO 4.1 (2)"/>
      <sheetName val="PROYECTO 5.1 (2)"/>
      <sheetName val="PROYECTO 5.2 (2)"/>
      <sheetName val="PROYECTO 6.1 (2)"/>
      <sheetName val="PROYECTO 6.1"/>
      <sheetName val="PROYECTO 6.2 (4)"/>
      <sheetName val="FUENTES Y USOS"/>
      <sheetName val="CONSOLIDADO 3-1 Y 6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4">
          <cell r="M4">
            <v>826631719.21000004</v>
          </cell>
        </row>
      </sheetData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 1.1 (2)"/>
      <sheetName val="PROYECTO 1.2 (2)"/>
      <sheetName val="PROYECTO 1.3 (2)"/>
      <sheetName val="PROYECTO 2.1 (2)"/>
      <sheetName val="PROYECTO 2.2 (2)"/>
      <sheetName val="PROYECTO 3,1 (4)"/>
      <sheetName val="PROYECTO 3.2 (2)"/>
      <sheetName val="PROYECTO 4.1 (2)"/>
      <sheetName val="PROYECTO 5.1 (2)"/>
      <sheetName val="PROYECTO 5.2 (2)"/>
      <sheetName val="PROYECTO 6.1 (2)"/>
      <sheetName val="PROYECTO 6.1"/>
      <sheetName val="PROYECTO 6.2 (4)"/>
      <sheetName val="FUENTES Y USOS"/>
      <sheetName val="Hoja1"/>
      <sheetName val="METAS"/>
      <sheetName val="METAS (2)"/>
      <sheetName val="PND"/>
      <sheetName val="CONSOLIDADO 3-1 Y 6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1">
          <cell r="M11">
            <v>915000000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zoomScale="110" zoomScaleNormal="11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G7" sqref="G7"/>
    </sheetView>
  </sheetViews>
  <sheetFormatPr baseColWidth="10" defaultRowHeight="12.75"/>
  <cols>
    <col min="1" max="1" width="29.5703125" style="1" customWidth="1"/>
    <col min="2" max="2" width="13.85546875" style="1" bestFit="1" customWidth="1"/>
    <col min="3" max="3" width="11.42578125" style="1"/>
    <col min="4" max="4" width="20.42578125" style="1" customWidth="1"/>
    <col min="5" max="5" width="17.42578125" style="1" customWidth="1"/>
    <col min="6" max="6" width="15" style="1" customWidth="1"/>
    <col min="7" max="7" width="19.5703125" style="1" customWidth="1"/>
    <col min="8" max="8" width="14.5703125" style="1" customWidth="1"/>
    <col min="9" max="9" width="14.85546875" style="1" bestFit="1" customWidth="1"/>
    <col min="10" max="10" width="12" style="1" customWidth="1"/>
    <col min="11" max="11" width="15.7109375" style="1" customWidth="1"/>
    <col min="12" max="12" width="16.140625" style="1" customWidth="1"/>
    <col min="13" max="254" width="11.42578125" style="1"/>
    <col min="255" max="255" width="29.5703125" style="1" customWidth="1"/>
    <col min="256" max="256" width="13.85546875" style="1" bestFit="1" customWidth="1"/>
    <col min="257" max="257" width="11.42578125" style="1"/>
    <col min="258" max="258" width="20.42578125" style="1" customWidth="1"/>
    <col min="259" max="259" width="17.42578125" style="1" customWidth="1"/>
    <col min="260" max="260" width="15" style="1" customWidth="1"/>
    <col min="261" max="261" width="19.5703125" style="1" customWidth="1"/>
    <col min="262" max="262" width="14.5703125" style="1" customWidth="1"/>
    <col min="263" max="263" width="14.85546875" style="1" bestFit="1" customWidth="1"/>
    <col min="264" max="264" width="9.42578125" style="1" bestFit="1" customWidth="1"/>
    <col min="265" max="265" width="15.7109375" style="1" customWidth="1"/>
    <col min="266" max="266" width="16.140625" style="1" customWidth="1"/>
    <col min="267" max="267" width="17.85546875" style="1" customWidth="1"/>
    <col min="268" max="268" width="19.42578125" style="1" customWidth="1"/>
    <col min="269" max="510" width="11.42578125" style="1"/>
    <col min="511" max="511" width="29.5703125" style="1" customWidth="1"/>
    <col min="512" max="512" width="13.85546875" style="1" bestFit="1" customWidth="1"/>
    <col min="513" max="513" width="11.42578125" style="1"/>
    <col min="514" max="514" width="20.42578125" style="1" customWidth="1"/>
    <col min="515" max="515" width="17.42578125" style="1" customWidth="1"/>
    <col min="516" max="516" width="15" style="1" customWidth="1"/>
    <col min="517" max="517" width="19.5703125" style="1" customWidth="1"/>
    <col min="518" max="518" width="14.5703125" style="1" customWidth="1"/>
    <col min="519" max="519" width="14.85546875" style="1" bestFit="1" customWidth="1"/>
    <col min="520" max="520" width="9.42578125" style="1" bestFit="1" customWidth="1"/>
    <col min="521" max="521" width="15.7109375" style="1" customWidth="1"/>
    <col min="522" max="522" width="16.140625" style="1" customWidth="1"/>
    <col min="523" max="523" width="17.85546875" style="1" customWidth="1"/>
    <col min="524" max="524" width="19.42578125" style="1" customWidth="1"/>
    <col min="525" max="766" width="11.42578125" style="1"/>
    <col min="767" max="767" width="29.5703125" style="1" customWidth="1"/>
    <col min="768" max="768" width="13.85546875" style="1" bestFit="1" customWidth="1"/>
    <col min="769" max="769" width="11.42578125" style="1"/>
    <col min="770" max="770" width="20.42578125" style="1" customWidth="1"/>
    <col min="771" max="771" width="17.42578125" style="1" customWidth="1"/>
    <col min="772" max="772" width="15" style="1" customWidth="1"/>
    <col min="773" max="773" width="19.5703125" style="1" customWidth="1"/>
    <col min="774" max="774" width="14.5703125" style="1" customWidth="1"/>
    <col min="775" max="775" width="14.85546875" style="1" bestFit="1" customWidth="1"/>
    <col min="776" max="776" width="9.42578125" style="1" bestFit="1" customWidth="1"/>
    <col min="777" max="777" width="15.7109375" style="1" customWidth="1"/>
    <col min="778" max="778" width="16.140625" style="1" customWidth="1"/>
    <col min="779" max="779" width="17.85546875" style="1" customWidth="1"/>
    <col min="780" max="780" width="19.42578125" style="1" customWidth="1"/>
    <col min="781" max="1022" width="11.42578125" style="1"/>
    <col min="1023" max="1023" width="29.5703125" style="1" customWidth="1"/>
    <col min="1024" max="1024" width="13.85546875" style="1" bestFit="1" customWidth="1"/>
    <col min="1025" max="1025" width="11.42578125" style="1"/>
    <col min="1026" max="1026" width="20.42578125" style="1" customWidth="1"/>
    <col min="1027" max="1027" width="17.42578125" style="1" customWidth="1"/>
    <col min="1028" max="1028" width="15" style="1" customWidth="1"/>
    <col min="1029" max="1029" width="19.5703125" style="1" customWidth="1"/>
    <col min="1030" max="1030" width="14.5703125" style="1" customWidth="1"/>
    <col min="1031" max="1031" width="14.85546875" style="1" bestFit="1" customWidth="1"/>
    <col min="1032" max="1032" width="9.42578125" style="1" bestFit="1" customWidth="1"/>
    <col min="1033" max="1033" width="15.7109375" style="1" customWidth="1"/>
    <col min="1034" max="1034" width="16.140625" style="1" customWidth="1"/>
    <col min="1035" max="1035" width="17.85546875" style="1" customWidth="1"/>
    <col min="1036" max="1036" width="19.42578125" style="1" customWidth="1"/>
    <col min="1037" max="1278" width="11.42578125" style="1"/>
    <col min="1279" max="1279" width="29.5703125" style="1" customWidth="1"/>
    <col min="1280" max="1280" width="13.85546875" style="1" bestFit="1" customWidth="1"/>
    <col min="1281" max="1281" width="11.42578125" style="1"/>
    <col min="1282" max="1282" width="20.42578125" style="1" customWidth="1"/>
    <col min="1283" max="1283" width="17.42578125" style="1" customWidth="1"/>
    <col min="1284" max="1284" width="15" style="1" customWidth="1"/>
    <col min="1285" max="1285" width="19.5703125" style="1" customWidth="1"/>
    <col min="1286" max="1286" width="14.5703125" style="1" customWidth="1"/>
    <col min="1287" max="1287" width="14.85546875" style="1" bestFit="1" customWidth="1"/>
    <col min="1288" max="1288" width="9.42578125" style="1" bestFit="1" customWidth="1"/>
    <col min="1289" max="1289" width="15.7109375" style="1" customWidth="1"/>
    <col min="1290" max="1290" width="16.140625" style="1" customWidth="1"/>
    <col min="1291" max="1291" width="17.85546875" style="1" customWidth="1"/>
    <col min="1292" max="1292" width="19.42578125" style="1" customWidth="1"/>
    <col min="1293" max="1534" width="11.42578125" style="1"/>
    <col min="1535" max="1535" width="29.5703125" style="1" customWidth="1"/>
    <col min="1536" max="1536" width="13.85546875" style="1" bestFit="1" customWidth="1"/>
    <col min="1537" max="1537" width="11.42578125" style="1"/>
    <col min="1538" max="1538" width="20.42578125" style="1" customWidth="1"/>
    <col min="1539" max="1539" width="17.42578125" style="1" customWidth="1"/>
    <col min="1540" max="1540" width="15" style="1" customWidth="1"/>
    <col min="1541" max="1541" width="19.5703125" style="1" customWidth="1"/>
    <col min="1542" max="1542" width="14.5703125" style="1" customWidth="1"/>
    <col min="1543" max="1543" width="14.85546875" style="1" bestFit="1" customWidth="1"/>
    <col min="1544" max="1544" width="9.42578125" style="1" bestFit="1" customWidth="1"/>
    <col min="1545" max="1545" width="15.7109375" style="1" customWidth="1"/>
    <col min="1546" max="1546" width="16.140625" style="1" customWidth="1"/>
    <col min="1547" max="1547" width="17.85546875" style="1" customWidth="1"/>
    <col min="1548" max="1548" width="19.42578125" style="1" customWidth="1"/>
    <col min="1549" max="1790" width="11.42578125" style="1"/>
    <col min="1791" max="1791" width="29.5703125" style="1" customWidth="1"/>
    <col min="1792" max="1792" width="13.85546875" style="1" bestFit="1" customWidth="1"/>
    <col min="1793" max="1793" width="11.42578125" style="1"/>
    <col min="1794" max="1794" width="20.42578125" style="1" customWidth="1"/>
    <col min="1795" max="1795" width="17.42578125" style="1" customWidth="1"/>
    <col min="1796" max="1796" width="15" style="1" customWidth="1"/>
    <col min="1797" max="1797" width="19.5703125" style="1" customWidth="1"/>
    <col min="1798" max="1798" width="14.5703125" style="1" customWidth="1"/>
    <col min="1799" max="1799" width="14.85546875" style="1" bestFit="1" customWidth="1"/>
    <col min="1800" max="1800" width="9.42578125" style="1" bestFit="1" customWidth="1"/>
    <col min="1801" max="1801" width="15.7109375" style="1" customWidth="1"/>
    <col min="1802" max="1802" width="16.140625" style="1" customWidth="1"/>
    <col min="1803" max="1803" width="17.85546875" style="1" customWidth="1"/>
    <col min="1804" max="1804" width="19.42578125" style="1" customWidth="1"/>
    <col min="1805" max="2046" width="11.42578125" style="1"/>
    <col min="2047" max="2047" width="29.5703125" style="1" customWidth="1"/>
    <col min="2048" max="2048" width="13.85546875" style="1" bestFit="1" customWidth="1"/>
    <col min="2049" max="2049" width="11.42578125" style="1"/>
    <col min="2050" max="2050" width="20.42578125" style="1" customWidth="1"/>
    <col min="2051" max="2051" width="17.42578125" style="1" customWidth="1"/>
    <col min="2052" max="2052" width="15" style="1" customWidth="1"/>
    <col min="2053" max="2053" width="19.5703125" style="1" customWidth="1"/>
    <col min="2054" max="2054" width="14.5703125" style="1" customWidth="1"/>
    <col min="2055" max="2055" width="14.85546875" style="1" bestFit="1" customWidth="1"/>
    <col min="2056" max="2056" width="9.42578125" style="1" bestFit="1" customWidth="1"/>
    <col min="2057" max="2057" width="15.7109375" style="1" customWidth="1"/>
    <col min="2058" max="2058" width="16.140625" style="1" customWidth="1"/>
    <col min="2059" max="2059" width="17.85546875" style="1" customWidth="1"/>
    <col min="2060" max="2060" width="19.42578125" style="1" customWidth="1"/>
    <col min="2061" max="2302" width="11.42578125" style="1"/>
    <col min="2303" max="2303" width="29.5703125" style="1" customWidth="1"/>
    <col min="2304" max="2304" width="13.85546875" style="1" bestFit="1" customWidth="1"/>
    <col min="2305" max="2305" width="11.42578125" style="1"/>
    <col min="2306" max="2306" width="20.42578125" style="1" customWidth="1"/>
    <col min="2307" max="2307" width="17.42578125" style="1" customWidth="1"/>
    <col min="2308" max="2308" width="15" style="1" customWidth="1"/>
    <col min="2309" max="2309" width="19.5703125" style="1" customWidth="1"/>
    <col min="2310" max="2310" width="14.5703125" style="1" customWidth="1"/>
    <col min="2311" max="2311" width="14.85546875" style="1" bestFit="1" customWidth="1"/>
    <col min="2312" max="2312" width="9.42578125" style="1" bestFit="1" customWidth="1"/>
    <col min="2313" max="2313" width="15.7109375" style="1" customWidth="1"/>
    <col min="2314" max="2314" width="16.140625" style="1" customWidth="1"/>
    <col min="2315" max="2315" width="17.85546875" style="1" customWidth="1"/>
    <col min="2316" max="2316" width="19.42578125" style="1" customWidth="1"/>
    <col min="2317" max="2558" width="11.42578125" style="1"/>
    <col min="2559" max="2559" width="29.5703125" style="1" customWidth="1"/>
    <col min="2560" max="2560" width="13.85546875" style="1" bestFit="1" customWidth="1"/>
    <col min="2561" max="2561" width="11.42578125" style="1"/>
    <col min="2562" max="2562" width="20.42578125" style="1" customWidth="1"/>
    <col min="2563" max="2563" width="17.42578125" style="1" customWidth="1"/>
    <col min="2564" max="2564" width="15" style="1" customWidth="1"/>
    <col min="2565" max="2565" width="19.5703125" style="1" customWidth="1"/>
    <col min="2566" max="2566" width="14.5703125" style="1" customWidth="1"/>
    <col min="2567" max="2567" width="14.85546875" style="1" bestFit="1" customWidth="1"/>
    <col min="2568" max="2568" width="9.42578125" style="1" bestFit="1" customWidth="1"/>
    <col min="2569" max="2569" width="15.7109375" style="1" customWidth="1"/>
    <col min="2570" max="2570" width="16.140625" style="1" customWidth="1"/>
    <col min="2571" max="2571" width="17.85546875" style="1" customWidth="1"/>
    <col min="2572" max="2572" width="19.42578125" style="1" customWidth="1"/>
    <col min="2573" max="2814" width="11.42578125" style="1"/>
    <col min="2815" max="2815" width="29.5703125" style="1" customWidth="1"/>
    <col min="2816" max="2816" width="13.85546875" style="1" bestFit="1" customWidth="1"/>
    <col min="2817" max="2817" width="11.42578125" style="1"/>
    <col min="2818" max="2818" width="20.42578125" style="1" customWidth="1"/>
    <col min="2819" max="2819" width="17.42578125" style="1" customWidth="1"/>
    <col min="2820" max="2820" width="15" style="1" customWidth="1"/>
    <col min="2821" max="2821" width="19.5703125" style="1" customWidth="1"/>
    <col min="2822" max="2822" width="14.5703125" style="1" customWidth="1"/>
    <col min="2823" max="2823" width="14.85546875" style="1" bestFit="1" customWidth="1"/>
    <col min="2824" max="2824" width="9.42578125" style="1" bestFit="1" customWidth="1"/>
    <col min="2825" max="2825" width="15.7109375" style="1" customWidth="1"/>
    <col min="2826" max="2826" width="16.140625" style="1" customWidth="1"/>
    <col min="2827" max="2827" width="17.85546875" style="1" customWidth="1"/>
    <col min="2828" max="2828" width="19.42578125" style="1" customWidth="1"/>
    <col min="2829" max="3070" width="11.42578125" style="1"/>
    <col min="3071" max="3071" width="29.5703125" style="1" customWidth="1"/>
    <col min="3072" max="3072" width="13.85546875" style="1" bestFit="1" customWidth="1"/>
    <col min="3073" max="3073" width="11.42578125" style="1"/>
    <col min="3074" max="3074" width="20.42578125" style="1" customWidth="1"/>
    <col min="3075" max="3075" width="17.42578125" style="1" customWidth="1"/>
    <col min="3076" max="3076" width="15" style="1" customWidth="1"/>
    <col min="3077" max="3077" width="19.5703125" style="1" customWidth="1"/>
    <col min="3078" max="3078" width="14.5703125" style="1" customWidth="1"/>
    <col min="3079" max="3079" width="14.85546875" style="1" bestFit="1" customWidth="1"/>
    <col min="3080" max="3080" width="9.42578125" style="1" bestFit="1" customWidth="1"/>
    <col min="3081" max="3081" width="15.7109375" style="1" customWidth="1"/>
    <col min="3082" max="3082" width="16.140625" style="1" customWidth="1"/>
    <col min="3083" max="3083" width="17.85546875" style="1" customWidth="1"/>
    <col min="3084" max="3084" width="19.42578125" style="1" customWidth="1"/>
    <col min="3085" max="3326" width="11.42578125" style="1"/>
    <col min="3327" max="3327" width="29.5703125" style="1" customWidth="1"/>
    <col min="3328" max="3328" width="13.85546875" style="1" bestFit="1" customWidth="1"/>
    <col min="3329" max="3329" width="11.42578125" style="1"/>
    <col min="3330" max="3330" width="20.42578125" style="1" customWidth="1"/>
    <col min="3331" max="3331" width="17.42578125" style="1" customWidth="1"/>
    <col min="3332" max="3332" width="15" style="1" customWidth="1"/>
    <col min="3333" max="3333" width="19.5703125" style="1" customWidth="1"/>
    <col min="3334" max="3334" width="14.5703125" style="1" customWidth="1"/>
    <col min="3335" max="3335" width="14.85546875" style="1" bestFit="1" customWidth="1"/>
    <col min="3336" max="3336" width="9.42578125" style="1" bestFit="1" customWidth="1"/>
    <col min="3337" max="3337" width="15.7109375" style="1" customWidth="1"/>
    <col min="3338" max="3338" width="16.140625" style="1" customWidth="1"/>
    <col min="3339" max="3339" width="17.85546875" style="1" customWidth="1"/>
    <col min="3340" max="3340" width="19.42578125" style="1" customWidth="1"/>
    <col min="3341" max="3582" width="11.42578125" style="1"/>
    <col min="3583" max="3583" width="29.5703125" style="1" customWidth="1"/>
    <col min="3584" max="3584" width="13.85546875" style="1" bestFit="1" customWidth="1"/>
    <col min="3585" max="3585" width="11.42578125" style="1"/>
    <col min="3586" max="3586" width="20.42578125" style="1" customWidth="1"/>
    <col min="3587" max="3587" width="17.42578125" style="1" customWidth="1"/>
    <col min="3588" max="3588" width="15" style="1" customWidth="1"/>
    <col min="3589" max="3589" width="19.5703125" style="1" customWidth="1"/>
    <col min="3590" max="3590" width="14.5703125" style="1" customWidth="1"/>
    <col min="3591" max="3591" width="14.85546875" style="1" bestFit="1" customWidth="1"/>
    <col min="3592" max="3592" width="9.42578125" style="1" bestFit="1" customWidth="1"/>
    <col min="3593" max="3593" width="15.7109375" style="1" customWidth="1"/>
    <col min="3594" max="3594" width="16.140625" style="1" customWidth="1"/>
    <col min="3595" max="3595" width="17.85546875" style="1" customWidth="1"/>
    <col min="3596" max="3596" width="19.42578125" style="1" customWidth="1"/>
    <col min="3597" max="3838" width="11.42578125" style="1"/>
    <col min="3839" max="3839" width="29.5703125" style="1" customWidth="1"/>
    <col min="3840" max="3840" width="13.85546875" style="1" bestFit="1" customWidth="1"/>
    <col min="3841" max="3841" width="11.42578125" style="1"/>
    <col min="3842" max="3842" width="20.42578125" style="1" customWidth="1"/>
    <col min="3843" max="3843" width="17.42578125" style="1" customWidth="1"/>
    <col min="3844" max="3844" width="15" style="1" customWidth="1"/>
    <col min="3845" max="3845" width="19.5703125" style="1" customWidth="1"/>
    <col min="3846" max="3846" width="14.5703125" style="1" customWidth="1"/>
    <col min="3847" max="3847" width="14.85546875" style="1" bestFit="1" customWidth="1"/>
    <col min="3848" max="3848" width="9.42578125" style="1" bestFit="1" customWidth="1"/>
    <col min="3849" max="3849" width="15.7109375" style="1" customWidth="1"/>
    <col min="3850" max="3850" width="16.140625" style="1" customWidth="1"/>
    <col min="3851" max="3851" width="17.85546875" style="1" customWidth="1"/>
    <col min="3852" max="3852" width="19.42578125" style="1" customWidth="1"/>
    <col min="3853" max="4094" width="11.42578125" style="1"/>
    <col min="4095" max="4095" width="29.5703125" style="1" customWidth="1"/>
    <col min="4096" max="4096" width="13.85546875" style="1" bestFit="1" customWidth="1"/>
    <col min="4097" max="4097" width="11.42578125" style="1"/>
    <col min="4098" max="4098" width="20.42578125" style="1" customWidth="1"/>
    <col min="4099" max="4099" width="17.42578125" style="1" customWidth="1"/>
    <col min="4100" max="4100" width="15" style="1" customWidth="1"/>
    <col min="4101" max="4101" width="19.5703125" style="1" customWidth="1"/>
    <col min="4102" max="4102" width="14.5703125" style="1" customWidth="1"/>
    <col min="4103" max="4103" width="14.85546875" style="1" bestFit="1" customWidth="1"/>
    <col min="4104" max="4104" width="9.42578125" style="1" bestFit="1" customWidth="1"/>
    <col min="4105" max="4105" width="15.7109375" style="1" customWidth="1"/>
    <col min="4106" max="4106" width="16.140625" style="1" customWidth="1"/>
    <col min="4107" max="4107" width="17.85546875" style="1" customWidth="1"/>
    <col min="4108" max="4108" width="19.42578125" style="1" customWidth="1"/>
    <col min="4109" max="4350" width="11.42578125" style="1"/>
    <col min="4351" max="4351" width="29.5703125" style="1" customWidth="1"/>
    <col min="4352" max="4352" width="13.85546875" style="1" bestFit="1" customWidth="1"/>
    <col min="4353" max="4353" width="11.42578125" style="1"/>
    <col min="4354" max="4354" width="20.42578125" style="1" customWidth="1"/>
    <col min="4355" max="4355" width="17.42578125" style="1" customWidth="1"/>
    <col min="4356" max="4356" width="15" style="1" customWidth="1"/>
    <col min="4357" max="4357" width="19.5703125" style="1" customWidth="1"/>
    <col min="4358" max="4358" width="14.5703125" style="1" customWidth="1"/>
    <col min="4359" max="4359" width="14.85546875" style="1" bestFit="1" customWidth="1"/>
    <col min="4360" max="4360" width="9.42578125" style="1" bestFit="1" customWidth="1"/>
    <col min="4361" max="4361" width="15.7109375" style="1" customWidth="1"/>
    <col min="4362" max="4362" width="16.140625" style="1" customWidth="1"/>
    <col min="4363" max="4363" width="17.85546875" style="1" customWidth="1"/>
    <col min="4364" max="4364" width="19.42578125" style="1" customWidth="1"/>
    <col min="4365" max="4606" width="11.42578125" style="1"/>
    <col min="4607" max="4607" width="29.5703125" style="1" customWidth="1"/>
    <col min="4608" max="4608" width="13.85546875" style="1" bestFit="1" customWidth="1"/>
    <col min="4609" max="4609" width="11.42578125" style="1"/>
    <col min="4610" max="4610" width="20.42578125" style="1" customWidth="1"/>
    <col min="4611" max="4611" width="17.42578125" style="1" customWidth="1"/>
    <col min="4612" max="4612" width="15" style="1" customWidth="1"/>
    <col min="4613" max="4613" width="19.5703125" style="1" customWidth="1"/>
    <col min="4614" max="4614" width="14.5703125" style="1" customWidth="1"/>
    <col min="4615" max="4615" width="14.85546875" style="1" bestFit="1" customWidth="1"/>
    <col min="4616" max="4616" width="9.42578125" style="1" bestFit="1" customWidth="1"/>
    <col min="4617" max="4617" width="15.7109375" style="1" customWidth="1"/>
    <col min="4618" max="4618" width="16.140625" style="1" customWidth="1"/>
    <col min="4619" max="4619" width="17.85546875" style="1" customWidth="1"/>
    <col min="4620" max="4620" width="19.42578125" style="1" customWidth="1"/>
    <col min="4621" max="4862" width="11.42578125" style="1"/>
    <col min="4863" max="4863" width="29.5703125" style="1" customWidth="1"/>
    <col min="4864" max="4864" width="13.85546875" style="1" bestFit="1" customWidth="1"/>
    <col min="4865" max="4865" width="11.42578125" style="1"/>
    <col min="4866" max="4866" width="20.42578125" style="1" customWidth="1"/>
    <col min="4867" max="4867" width="17.42578125" style="1" customWidth="1"/>
    <col min="4868" max="4868" width="15" style="1" customWidth="1"/>
    <col min="4869" max="4869" width="19.5703125" style="1" customWidth="1"/>
    <col min="4870" max="4870" width="14.5703125" style="1" customWidth="1"/>
    <col min="4871" max="4871" width="14.85546875" style="1" bestFit="1" customWidth="1"/>
    <col min="4872" max="4872" width="9.42578125" style="1" bestFit="1" customWidth="1"/>
    <col min="4873" max="4873" width="15.7109375" style="1" customWidth="1"/>
    <col min="4874" max="4874" width="16.140625" style="1" customWidth="1"/>
    <col min="4875" max="4875" width="17.85546875" style="1" customWidth="1"/>
    <col min="4876" max="4876" width="19.42578125" style="1" customWidth="1"/>
    <col min="4877" max="5118" width="11.42578125" style="1"/>
    <col min="5119" max="5119" width="29.5703125" style="1" customWidth="1"/>
    <col min="5120" max="5120" width="13.85546875" style="1" bestFit="1" customWidth="1"/>
    <col min="5121" max="5121" width="11.42578125" style="1"/>
    <col min="5122" max="5122" width="20.42578125" style="1" customWidth="1"/>
    <col min="5123" max="5123" width="17.42578125" style="1" customWidth="1"/>
    <col min="5124" max="5124" width="15" style="1" customWidth="1"/>
    <col min="5125" max="5125" width="19.5703125" style="1" customWidth="1"/>
    <col min="5126" max="5126" width="14.5703125" style="1" customWidth="1"/>
    <col min="5127" max="5127" width="14.85546875" style="1" bestFit="1" customWidth="1"/>
    <col min="5128" max="5128" width="9.42578125" style="1" bestFit="1" customWidth="1"/>
    <col min="5129" max="5129" width="15.7109375" style="1" customWidth="1"/>
    <col min="5130" max="5130" width="16.140625" style="1" customWidth="1"/>
    <col min="5131" max="5131" width="17.85546875" style="1" customWidth="1"/>
    <col min="5132" max="5132" width="19.42578125" style="1" customWidth="1"/>
    <col min="5133" max="5374" width="11.42578125" style="1"/>
    <col min="5375" max="5375" width="29.5703125" style="1" customWidth="1"/>
    <col min="5376" max="5376" width="13.85546875" style="1" bestFit="1" customWidth="1"/>
    <col min="5377" max="5377" width="11.42578125" style="1"/>
    <col min="5378" max="5378" width="20.42578125" style="1" customWidth="1"/>
    <col min="5379" max="5379" width="17.42578125" style="1" customWidth="1"/>
    <col min="5380" max="5380" width="15" style="1" customWidth="1"/>
    <col min="5381" max="5381" width="19.5703125" style="1" customWidth="1"/>
    <col min="5382" max="5382" width="14.5703125" style="1" customWidth="1"/>
    <col min="5383" max="5383" width="14.85546875" style="1" bestFit="1" customWidth="1"/>
    <col min="5384" max="5384" width="9.42578125" style="1" bestFit="1" customWidth="1"/>
    <col min="5385" max="5385" width="15.7109375" style="1" customWidth="1"/>
    <col min="5386" max="5386" width="16.140625" style="1" customWidth="1"/>
    <col min="5387" max="5387" width="17.85546875" style="1" customWidth="1"/>
    <col min="5388" max="5388" width="19.42578125" style="1" customWidth="1"/>
    <col min="5389" max="5630" width="11.42578125" style="1"/>
    <col min="5631" max="5631" width="29.5703125" style="1" customWidth="1"/>
    <col min="5632" max="5632" width="13.85546875" style="1" bestFit="1" customWidth="1"/>
    <col min="5633" max="5633" width="11.42578125" style="1"/>
    <col min="5634" max="5634" width="20.42578125" style="1" customWidth="1"/>
    <col min="5635" max="5635" width="17.42578125" style="1" customWidth="1"/>
    <col min="5636" max="5636" width="15" style="1" customWidth="1"/>
    <col min="5637" max="5637" width="19.5703125" style="1" customWidth="1"/>
    <col min="5638" max="5638" width="14.5703125" style="1" customWidth="1"/>
    <col min="5639" max="5639" width="14.85546875" style="1" bestFit="1" customWidth="1"/>
    <col min="5640" max="5640" width="9.42578125" style="1" bestFit="1" customWidth="1"/>
    <col min="5641" max="5641" width="15.7109375" style="1" customWidth="1"/>
    <col min="5642" max="5642" width="16.140625" style="1" customWidth="1"/>
    <col min="5643" max="5643" width="17.85546875" style="1" customWidth="1"/>
    <col min="5644" max="5644" width="19.42578125" style="1" customWidth="1"/>
    <col min="5645" max="5886" width="11.42578125" style="1"/>
    <col min="5887" max="5887" width="29.5703125" style="1" customWidth="1"/>
    <col min="5888" max="5888" width="13.85546875" style="1" bestFit="1" customWidth="1"/>
    <col min="5889" max="5889" width="11.42578125" style="1"/>
    <col min="5890" max="5890" width="20.42578125" style="1" customWidth="1"/>
    <col min="5891" max="5891" width="17.42578125" style="1" customWidth="1"/>
    <col min="5892" max="5892" width="15" style="1" customWidth="1"/>
    <col min="5893" max="5893" width="19.5703125" style="1" customWidth="1"/>
    <col min="5894" max="5894" width="14.5703125" style="1" customWidth="1"/>
    <col min="5895" max="5895" width="14.85546875" style="1" bestFit="1" customWidth="1"/>
    <col min="5896" max="5896" width="9.42578125" style="1" bestFit="1" customWidth="1"/>
    <col min="5897" max="5897" width="15.7109375" style="1" customWidth="1"/>
    <col min="5898" max="5898" width="16.140625" style="1" customWidth="1"/>
    <col min="5899" max="5899" width="17.85546875" style="1" customWidth="1"/>
    <col min="5900" max="5900" width="19.42578125" style="1" customWidth="1"/>
    <col min="5901" max="6142" width="11.42578125" style="1"/>
    <col min="6143" max="6143" width="29.5703125" style="1" customWidth="1"/>
    <col min="6144" max="6144" width="13.85546875" style="1" bestFit="1" customWidth="1"/>
    <col min="6145" max="6145" width="11.42578125" style="1"/>
    <col min="6146" max="6146" width="20.42578125" style="1" customWidth="1"/>
    <col min="6147" max="6147" width="17.42578125" style="1" customWidth="1"/>
    <col min="6148" max="6148" width="15" style="1" customWidth="1"/>
    <col min="6149" max="6149" width="19.5703125" style="1" customWidth="1"/>
    <col min="6150" max="6150" width="14.5703125" style="1" customWidth="1"/>
    <col min="6151" max="6151" width="14.85546875" style="1" bestFit="1" customWidth="1"/>
    <col min="6152" max="6152" width="9.42578125" style="1" bestFit="1" customWidth="1"/>
    <col min="6153" max="6153" width="15.7109375" style="1" customWidth="1"/>
    <col min="6154" max="6154" width="16.140625" style="1" customWidth="1"/>
    <col min="6155" max="6155" width="17.85546875" style="1" customWidth="1"/>
    <col min="6156" max="6156" width="19.42578125" style="1" customWidth="1"/>
    <col min="6157" max="6398" width="11.42578125" style="1"/>
    <col min="6399" max="6399" width="29.5703125" style="1" customWidth="1"/>
    <col min="6400" max="6400" width="13.85546875" style="1" bestFit="1" customWidth="1"/>
    <col min="6401" max="6401" width="11.42578125" style="1"/>
    <col min="6402" max="6402" width="20.42578125" style="1" customWidth="1"/>
    <col min="6403" max="6403" width="17.42578125" style="1" customWidth="1"/>
    <col min="6404" max="6404" width="15" style="1" customWidth="1"/>
    <col min="6405" max="6405" width="19.5703125" style="1" customWidth="1"/>
    <col min="6406" max="6406" width="14.5703125" style="1" customWidth="1"/>
    <col min="6407" max="6407" width="14.85546875" style="1" bestFit="1" customWidth="1"/>
    <col min="6408" max="6408" width="9.42578125" style="1" bestFit="1" customWidth="1"/>
    <col min="6409" max="6409" width="15.7109375" style="1" customWidth="1"/>
    <col min="6410" max="6410" width="16.140625" style="1" customWidth="1"/>
    <col min="6411" max="6411" width="17.85546875" style="1" customWidth="1"/>
    <col min="6412" max="6412" width="19.42578125" style="1" customWidth="1"/>
    <col min="6413" max="6654" width="11.42578125" style="1"/>
    <col min="6655" max="6655" width="29.5703125" style="1" customWidth="1"/>
    <col min="6656" max="6656" width="13.85546875" style="1" bestFit="1" customWidth="1"/>
    <col min="6657" max="6657" width="11.42578125" style="1"/>
    <col min="6658" max="6658" width="20.42578125" style="1" customWidth="1"/>
    <col min="6659" max="6659" width="17.42578125" style="1" customWidth="1"/>
    <col min="6660" max="6660" width="15" style="1" customWidth="1"/>
    <col min="6661" max="6661" width="19.5703125" style="1" customWidth="1"/>
    <col min="6662" max="6662" width="14.5703125" style="1" customWidth="1"/>
    <col min="6663" max="6663" width="14.85546875" style="1" bestFit="1" customWidth="1"/>
    <col min="6664" max="6664" width="9.42578125" style="1" bestFit="1" customWidth="1"/>
    <col min="6665" max="6665" width="15.7109375" style="1" customWidth="1"/>
    <col min="6666" max="6666" width="16.140625" style="1" customWidth="1"/>
    <col min="6667" max="6667" width="17.85546875" style="1" customWidth="1"/>
    <col min="6668" max="6668" width="19.42578125" style="1" customWidth="1"/>
    <col min="6669" max="6910" width="11.42578125" style="1"/>
    <col min="6911" max="6911" width="29.5703125" style="1" customWidth="1"/>
    <col min="6912" max="6912" width="13.85546875" style="1" bestFit="1" customWidth="1"/>
    <col min="6913" max="6913" width="11.42578125" style="1"/>
    <col min="6914" max="6914" width="20.42578125" style="1" customWidth="1"/>
    <col min="6915" max="6915" width="17.42578125" style="1" customWidth="1"/>
    <col min="6916" max="6916" width="15" style="1" customWidth="1"/>
    <col min="6917" max="6917" width="19.5703125" style="1" customWidth="1"/>
    <col min="6918" max="6918" width="14.5703125" style="1" customWidth="1"/>
    <col min="6919" max="6919" width="14.85546875" style="1" bestFit="1" customWidth="1"/>
    <col min="6920" max="6920" width="9.42578125" style="1" bestFit="1" customWidth="1"/>
    <col min="6921" max="6921" width="15.7109375" style="1" customWidth="1"/>
    <col min="6922" max="6922" width="16.140625" style="1" customWidth="1"/>
    <col min="6923" max="6923" width="17.85546875" style="1" customWidth="1"/>
    <col min="6924" max="6924" width="19.42578125" style="1" customWidth="1"/>
    <col min="6925" max="7166" width="11.42578125" style="1"/>
    <col min="7167" max="7167" width="29.5703125" style="1" customWidth="1"/>
    <col min="7168" max="7168" width="13.85546875" style="1" bestFit="1" customWidth="1"/>
    <col min="7169" max="7169" width="11.42578125" style="1"/>
    <col min="7170" max="7170" width="20.42578125" style="1" customWidth="1"/>
    <col min="7171" max="7171" width="17.42578125" style="1" customWidth="1"/>
    <col min="7172" max="7172" width="15" style="1" customWidth="1"/>
    <col min="7173" max="7173" width="19.5703125" style="1" customWidth="1"/>
    <col min="7174" max="7174" width="14.5703125" style="1" customWidth="1"/>
    <col min="7175" max="7175" width="14.85546875" style="1" bestFit="1" customWidth="1"/>
    <col min="7176" max="7176" width="9.42578125" style="1" bestFit="1" customWidth="1"/>
    <col min="7177" max="7177" width="15.7109375" style="1" customWidth="1"/>
    <col min="7178" max="7178" width="16.140625" style="1" customWidth="1"/>
    <col min="7179" max="7179" width="17.85546875" style="1" customWidth="1"/>
    <col min="7180" max="7180" width="19.42578125" style="1" customWidth="1"/>
    <col min="7181" max="7422" width="11.42578125" style="1"/>
    <col min="7423" max="7423" width="29.5703125" style="1" customWidth="1"/>
    <col min="7424" max="7424" width="13.85546875" style="1" bestFit="1" customWidth="1"/>
    <col min="7425" max="7425" width="11.42578125" style="1"/>
    <col min="7426" max="7426" width="20.42578125" style="1" customWidth="1"/>
    <col min="7427" max="7427" width="17.42578125" style="1" customWidth="1"/>
    <col min="7428" max="7428" width="15" style="1" customWidth="1"/>
    <col min="7429" max="7429" width="19.5703125" style="1" customWidth="1"/>
    <col min="7430" max="7430" width="14.5703125" style="1" customWidth="1"/>
    <col min="7431" max="7431" width="14.85546875" style="1" bestFit="1" customWidth="1"/>
    <col min="7432" max="7432" width="9.42578125" style="1" bestFit="1" customWidth="1"/>
    <col min="7433" max="7433" width="15.7109375" style="1" customWidth="1"/>
    <col min="7434" max="7434" width="16.140625" style="1" customWidth="1"/>
    <col min="7435" max="7435" width="17.85546875" style="1" customWidth="1"/>
    <col min="7436" max="7436" width="19.42578125" style="1" customWidth="1"/>
    <col min="7437" max="7678" width="11.42578125" style="1"/>
    <col min="7679" max="7679" width="29.5703125" style="1" customWidth="1"/>
    <col min="7680" max="7680" width="13.85546875" style="1" bestFit="1" customWidth="1"/>
    <col min="7681" max="7681" width="11.42578125" style="1"/>
    <col min="7682" max="7682" width="20.42578125" style="1" customWidth="1"/>
    <col min="7683" max="7683" width="17.42578125" style="1" customWidth="1"/>
    <col min="7684" max="7684" width="15" style="1" customWidth="1"/>
    <col min="7685" max="7685" width="19.5703125" style="1" customWidth="1"/>
    <col min="7686" max="7686" width="14.5703125" style="1" customWidth="1"/>
    <col min="7687" max="7687" width="14.85546875" style="1" bestFit="1" customWidth="1"/>
    <col min="7688" max="7688" width="9.42578125" style="1" bestFit="1" customWidth="1"/>
    <col min="7689" max="7689" width="15.7109375" style="1" customWidth="1"/>
    <col min="7690" max="7690" width="16.140625" style="1" customWidth="1"/>
    <col min="7691" max="7691" width="17.85546875" style="1" customWidth="1"/>
    <col min="7692" max="7692" width="19.42578125" style="1" customWidth="1"/>
    <col min="7693" max="7934" width="11.42578125" style="1"/>
    <col min="7935" max="7935" width="29.5703125" style="1" customWidth="1"/>
    <col min="7936" max="7936" width="13.85546875" style="1" bestFit="1" customWidth="1"/>
    <col min="7937" max="7937" width="11.42578125" style="1"/>
    <col min="7938" max="7938" width="20.42578125" style="1" customWidth="1"/>
    <col min="7939" max="7939" width="17.42578125" style="1" customWidth="1"/>
    <col min="7940" max="7940" width="15" style="1" customWidth="1"/>
    <col min="7941" max="7941" width="19.5703125" style="1" customWidth="1"/>
    <col min="7942" max="7942" width="14.5703125" style="1" customWidth="1"/>
    <col min="7943" max="7943" width="14.85546875" style="1" bestFit="1" customWidth="1"/>
    <col min="7944" max="7944" width="9.42578125" style="1" bestFit="1" customWidth="1"/>
    <col min="7945" max="7945" width="15.7109375" style="1" customWidth="1"/>
    <col min="7946" max="7946" width="16.140625" style="1" customWidth="1"/>
    <col min="7947" max="7947" width="17.85546875" style="1" customWidth="1"/>
    <col min="7948" max="7948" width="19.42578125" style="1" customWidth="1"/>
    <col min="7949" max="8190" width="11.42578125" style="1"/>
    <col min="8191" max="8191" width="29.5703125" style="1" customWidth="1"/>
    <col min="8192" max="8192" width="13.85546875" style="1" bestFit="1" customWidth="1"/>
    <col min="8193" max="8193" width="11.42578125" style="1"/>
    <col min="8194" max="8194" width="20.42578125" style="1" customWidth="1"/>
    <col min="8195" max="8195" width="17.42578125" style="1" customWidth="1"/>
    <col min="8196" max="8196" width="15" style="1" customWidth="1"/>
    <col min="8197" max="8197" width="19.5703125" style="1" customWidth="1"/>
    <col min="8198" max="8198" width="14.5703125" style="1" customWidth="1"/>
    <col min="8199" max="8199" width="14.85546875" style="1" bestFit="1" customWidth="1"/>
    <col min="8200" max="8200" width="9.42578125" style="1" bestFit="1" customWidth="1"/>
    <col min="8201" max="8201" width="15.7109375" style="1" customWidth="1"/>
    <col min="8202" max="8202" width="16.140625" style="1" customWidth="1"/>
    <col min="8203" max="8203" width="17.85546875" style="1" customWidth="1"/>
    <col min="8204" max="8204" width="19.42578125" style="1" customWidth="1"/>
    <col min="8205" max="8446" width="11.42578125" style="1"/>
    <col min="8447" max="8447" width="29.5703125" style="1" customWidth="1"/>
    <col min="8448" max="8448" width="13.85546875" style="1" bestFit="1" customWidth="1"/>
    <col min="8449" max="8449" width="11.42578125" style="1"/>
    <col min="8450" max="8450" width="20.42578125" style="1" customWidth="1"/>
    <col min="8451" max="8451" width="17.42578125" style="1" customWidth="1"/>
    <col min="8452" max="8452" width="15" style="1" customWidth="1"/>
    <col min="8453" max="8453" width="19.5703125" style="1" customWidth="1"/>
    <col min="8454" max="8454" width="14.5703125" style="1" customWidth="1"/>
    <col min="8455" max="8455" width="14.85546875" style="1" bestFit="1" customWidth="1"/>
    <col min="8456" max="8456" width="9.42578125" style="1" bestFit="1" customWidth="1"/>
    <col min="8457" max="8457" width="15.7109375" style="1" customWidth="1"/>
    <col min="8458" max="8458" width="16.140625" style="1" customWidth="1"/>
    <col min="8459" max="8459" width="17.85546875" style="1" customWidth="1"/>
    <col min="8460" max="8460" width="19.42578125" style="1" customWidth="1"/>
    <col min="8461" max="8702" width="11.42578125" style="1"/>
    <col min="8703" max="8703" width="29.5703125" style="1" customWidth="1"/>
    <col min="8704" max="8704" width="13.85546875" style="1" bestFit="1" customWidth="1"/>
    <col min="8705" max="8705" width="11.42578125" style="1"/>
    <col min="8706" max="8706" width="20.42578125" style="1" customWidth="1"/>
    <col min="8707" max="8707" width="17.42578125" style="1" customWidth="1"/>
    <col min="8708" max="8708" width="15" style="1" customWidth="1"/>
    <col min="8709" max="8709" width="19.5703125" style="1" customWidth="1"/>
    <col min="8710" max="8710" width="14.5703125" style="1" customWidth="1"/>
    <col min="8711" max="8711" width="14.85546875" style="1" bestFit="1" customWidth="1"/>
    <col min="8712" max="8712" width="9.42578125" style="1" bestFit="1" customWidth="1"/>
    <col min="8713" max="8713" width="15.7109375" style="1" customWidth="1"/>
    <col min="8714" max="8714" width="16.140625" style="1" customWidth="1"/>
    <col min="8715" max="8715" width="17.85546875" style="1" customWidth="1"/>
    <col min="8716" max="8716" width="19.42578125" style="1" customWidth="1"/>
    <col min="8717" max="8958" width="11.42578125" style="1"/>
    <col min="8959" max="8959" width="29.5703125" style="1" customWidth="1"/>
    <col min="8960" max="8960" width="13.85546875" style="1" bestFit="1" customWidth="1"/>
    <col min="8961" max="8961" width="11.42578125" style="1"/>
    <col min="8962" max="8962" width="20.42578125" style="1" customWidth="1"/>
    <col min="8963" max="8963" width="17.42578125" style="1" customWidth="1"/>
    <col min="8964" max="8964" width="15" style="1" customWidth="1"/>
    <col min="8965" max="8965" width="19.5703125" style="1" customWidth="1"/>
    <col min="8966" max="8966" width="14.5703125" style="1" customWidth="1"/>
    <col min="8967" max="8967" width="14.85546875" style="1" bestFit="1" customWidth="1"/>
    <col min="8968" max="8968" width="9.42578125" style="1" bestFit="1" customWidth="1"/>
    <col min="8969" max="8969" width="15.7109375" style="1" customWidth="1"/>
    <col min="8970" max="8970" width="16.140625" style="1" customWidth="1"/>
    <col min="8971" max="8971" width="17.85546875" style="1" customWidth="1"/>
    <col min="8972" max="8972" width="19.42578125" style="1" customWidth="1"/>
    <col min="8973" max="9214" width="11.42578125" style="1"/>
    <col min="9215" max="9215" width="29.5703125" style="1" customWidth="1"/>
    <col min="9216" max="9216" width="13.85546875" style="1" bestFit="1" customWidth="1"/>
    <col min="9217" max="9217" width="11.42578125" style="1"/>
    <col min="9218" max="9218" width="20.42578125" style="1" customWidth="1"/>
    <col min="9219" max="9219" width="17.42578125" style="1" customWidth="1"/>
    <col min="9220" max="9220" width="15" style="1" customWidth="1"/>
    <col min="9221" max="9221" width="19.5703125" style="1" customWidth="1"/>
    <col min="9222" max="9222" width="14.5703125" style="1" customWidth="1"/>
    <col min="9223" max="9223" width="14.85546875" style="1" bestFit="1" customWidth="1"/>
    <col min="9224" max="9224" width="9.42578125" style="1" bestFit="1" customWidth="1"/>
    <col min="9225" max="9225" width="15.7109375" style="1" customWidth="1"/>
    <col min="9226" max="9226" width="16.140625" style="1" customWidth="1"/>
    <col min="9227" max="9227" width="17.85546875" style="1" customWidth="1"/>
    <col min="9228" max="9228" width="19.42578125" style="1" customWidth="1"/>
    <col min="9229" max="9470" width="11.42578125" style="1"/>
    <col min="9471" max="9471" width="29.5703125" style="1" customWidth="1"/>
    <col min="9472" max="9472" width="13.85546875" style="1" bestFit="1" customWidth="1"/>
    <col min="9473" max="9473" width="11.42578125" style="1"/>
    <col min="9474" max="9474" width="20.42578125" style="1" customWidth="1"/>
    <col min="9475" max="9475" width="17.42578125" style="1" customWidth="1"/>
    <col min="9476" max="9476" width="15" style="1" customWidth="1"/>
    <col min="9477" max="9477" width="19.5703125" style="1" customWidth="1"/>
    <col min="9478" max="9478" width="14.5703125" style="1" customWidth="1"/>
    <col min="9479" max="9479" width="14.85546875" style="1" bestFit="1" customWidth="1"/>
    <col min="9480" max="9480" width="9.42578125" style="1" bestFit="1" customWidth="1"/>
    <col min="9481" max="9481" width="15.7109375" style="1" customWidth="1"/>
    <col min="9482" max="9482" width="16.140625" style="1" customWidth="1"/>
    <col min="9483" max="9483" width="17.85546875" style="1" customWidth="1"/>
    <col min="9484" max="9484" width="19.42578125" style="1" customWidth="1"/>
    <col min="9485" max="9726" width="11.42578125" style="1"/>
    <col min="9727" max="9727" width="29.5703125" style="1" customWidth="1"/>
    <col min="9728" max="9728" width="13.85546875" style="1" bestFit="1" customWidth="1"/>
    <col min="9729" max="9729" width="11.42578125" style="1"/>
    <col min="9730" max="9730" width="20.42578125" style="1" customWidth="1"/>
    <col min="9731" max="9731" width="17.42578125" style="1" customWidth="1"/>
    <col min="9732" max="9732" width="15" style="1" customWidth="1"/>
    <col min="9733" max="9733" width="19.5703125" style="1" customWidth="1"/>
    <col min="9734" max="9734" width="14.5703125" style="1" customWidth="1"/>
    <col min="9735" max="9735" width="14.85546875" style="1" bestFit="1" customWidth="1"/>
    <col min="9736" max="9736" width="9.42578125" style="1" bestFit="1" customWidth="1"/>
    <col min="9737" max="9737" width="15.7109375" style="1" customWidth="1"/>
    <col min="9738" max="9738" width="16.140625" style="1" customWidth="1"/>
    <col min="9739" max="9739" width="17.85546875" style="1" customWidth="1"/>
    <col min="9740" max="9740" width="19.42578125" style="1" customWidth="1"/>
    <col min="9741" max="9982" width="11.42578125" style="1"/>
    <col min="9983" max="9983" width="29.5703125" style="1" customWidth="1"/>
    <col min="9984" max="9984" width="13.85546875" style="1" bestFit="1" customWidth="1"/>
    <col min="9985" max="9985" width="11.42578125" style="1"/>
    <col min="9986" max="9986" width="20.42578125" style="1" customWidth="1"/>
    <col min="9987" max="9987" width="17.42578125" style="1" customWidth="1"/>
    <col min="9988" max="9988" width="15" style="1" customWidth="1"/>
    <col min="9989" max="9989" width="19.5703125" style="1" customWidth="1"/>
    <col min="9990" max="9990" width="14.5703125" style="1" customWidth="1"/>
    <col min="9991" max="9991" width="14.85546875" style="1" bestFit="1" customWidth="1"/>
    <col min="9992" max="9992" width="9.42578125" style="1" bestFit="1" customWidth="1"/>
    <col min="9993" max="9993" width="15.7109375" style="1" customWidth="1"/>
    <col min="9994" max="9994" width="16.140625" style="1" customWidth="1"/>
    <col min="9995" max="9995" width="17.85546875" style="1" customWidth="1"/>
    <col min="9996" max="9996" width="19.42578125" style="1" customWidth="1"/>
    <col min="9997" max="10238" width="11.42578125" style="1"/>
    <col min="10239" max="10239" width="29.5703125" style="1" customWidth="1"/>
    <col min="10240" max="10240" width="13.85546875" style="1" bestFit="1" customWidth="1"/>
    <col min="10241" max="10241" width="11.42578125" style="1"/>
    <col min="10242" max="10242" width="20.42578125" style="1" customWidth="1"/>
    <col min="10243" max="10243" width="17.42578125" style="1" customWidth="1"/>
    <col min="10244" max="10244" width="15" style="1" customWidth="1"/>
    <col min="10245" max="10245" width="19.5703125" style="1" customWidth="1"/>
    <col min="10246" max="10246" width="14.5703125" style="1" customWidth="1"/>
    <col min="10247" max="10247" width="14.85546875" style="1" bestFit="1" customWidth="1"/>
    <col min="10248" max="10248" width="9.42578125" style="1" bestFit="1" customWidth="1"/>
    <col min="10249" max="10249" width="15.7109375" style="1" customWidth="1"/>
    <col min="10250" max="10250" width="16.140625" style="1" customWidth="1"/>
    <col min="10251" max="10251" width="17.85546875" style="1" customWidth="1"/>
    <col min="10252" max="10252" width="19.42578125" style="1" customWidth="1"/>
    <col min="10253" max="10494" width="11.42578125" style="1"/>
    <col min="10495" max="10495" width="29.5703125" style="1" customWidth="1"/>
    <col min="10496" max="10496" width="13.85546875" style="1" bestFit="1" customWidth="1"/>
    <col min="10497" max="10497" width="11.42578125" style="1"/>
    <col min="10498" max="10498" width="20.42578125" style="1" customWidth="1"/>
    <col min="10499" max="10499" width="17.42578125" style="1" customWidth="1"/>
    <col min="10500" max="10500" width="15" style="1" customWidth="1"/>
    <col min="10501" max="10501" width="19.5703125" style="1" customWidth="1"/>
    <col min="10502" max="10502" width="14.5703125" style="1" customWidth="1"/>
    <col min="10503" max="10503" width="14.85546875" style="1" bestFit="1" customWidth="1"/>
    <col min="10504" max="10504" width="9.42578125" style="1" bestFit="1" customWidth="1"/>
    <col min="10505" max="10505" width="15.7109375" style="1" customWidth="1"/>
    <col min="10506" max="10506" width="16.140625" style="1" customWidth="1"/>
    <col min="10507" max="10507" width="17.85546875" style="1" customWidth="1"/>
    <col min="10508" max="10508" width="19.42578125" style="1" customWidth="1"/>
    <col min="10509" max="10750" width="11.42578125" style="1"/>
    <col min="10751" max="10751" width="29.5703125" style="1" customWidth="1"/>
    <col min="10752" max="10752" width="13.85546875" style="1" bestFit="1" customWidth="1"/>
    <col min="10753" max="10753" width="11.42578125" style="1"/>
    <col min="10754" max="10754" width="20.42578125" style="1" customWidth="1"/>
    <col min="10755" max="10755" width="17.42578125" style="1" customWidth="1"/>
    <col min="10756" max="10756" width="15" style="1" customWidth="1"/>
    <col min="10757" max="10757" width="19.5703125" style="1" customWidth="1"/>
    <col min="10758" max="10758" width="14.5703125" style="1" customWidth="1"/>
    <col min="10759" max="10759" width="14.85546875" style="1" bestFit="1" customWidth="1"/>
    <col min="10760" max="10760" width="9.42578125" style="1" bestFit="1" customWidth="1"/>
    <col min="10761" max="10761" width="15.7109375" style="1" customWidth="1"/>
    <col min="10762" max="10762" width="16.140625" style="1" customWidth="1"/>
    <col min="10763" max="10763" width="17.85546875" style="1" customWidth="1"/>
    <col min="10764" max="10764" width="19.42578125" style="1" customWidth="1"/>
    <col min="10765" max="11006" width="11.42578125" style="1"/>
    <col min="11007" max="11007" width="29.5703125" style="1" customWidth="1"/>
    <col min="11008" max="11008" width="13.85546875" style="1" bestFit="1" customWidth="1"/>
    <col min="11009" max="11009" width="11.42578125" style="1"/>
    <col min="11010" max="11010" width="20.42578125" style="1" customWidth="1"/>
    <col min="11011" max="11011" width="17.42578125" style="1" customWidth="1"/>
    <col min="11012" max="11012" width="15" style="1" customWidth="1"/>
    <col min="11013" max="11013" width="19.5703125" style="1" customWidth="1"/>
    <col min="11014" max="11014" width="14.5703125" style="1" customWidth="1"/>
    <col min="11015" max="11015" width="14.85546875" style="1" bestFit="1" customWidth="1"/>
    <col min="11016" max="11016" width="9.42578125" style="1" bestFit="1" customWidth="1"/>
    <col min="11017" max="11017" width="15.7109375" style="1" customWidth="1"/>
    <col min="11018" max="11018" width="16.140625" style="1" customWidth="1"/>
    <col min="11019" max="11019" width="17.85546875" style="1" customWidth="1"/>
    <col min="11020" max="11020" width="19.42578125" style="1" customWidth="1"/>
    <col min="11021" max="11262" width="11.42578125" style="1"/>
    <col min="11263" max="11263" width="29.5703125" style="1" customWidth="1"/>
    <col min="11264" max="11264" width="13.85546875" style="1" bestFit="1" customWidth="1"/>
    <col min="11265" max="11265" width="11.42578125" style="1"/>
    <col min="11266" max="11266" width="20.42578125" style="1" customWidth="1"/>
    <col min="11267" max="11267" width="17.42578125" style="1" customWidth="1"/>
    <col min="11268" max="11268" width="15" style="1" customWidth="1"/>
    <col min="11269" max="11269" width="19.5703125" style="1" customWidth="1"/>
    <col min="11270" max="11270" width="14.5703125" style="1" customWidth="1"/>
    <col min="11271" max="11271" width="14.85546875" style="1" bestFit="1" customWidth="1"/>
    <col min="11272" max="11272" width="9.42578125" style="1" bestFit="1" customWidth="1"/>
    <col min="11273" max="11273" width="15.7109375" style="1" customWidth="1"/>
    <col min="11274" max="11274" width="16.140625" style="1" customWidth="1"/>
    <col min="11275" max="11275" width="17.85546875" style="1" customWidth="1"/>
    <col min="11276" max="11276" width="19.42578125" style="1" customWidth="1"/>
    <col min="11277" max="11518" width="11.42578125" style="1"/>
    <col min="11519" max="11519" width="29.5703125" style="1" customWidth="1"/>
    <col min="11520" max="11520" width="13.85546875" style="1" bestFit="1" customWidth="1"/>
    <col min="11521" max="11521" width="11.42578125" style="1"/>
    <col min="11522" max="11522" width="20.42578125" style="1" customWidth="1"/>
    <col min="11523" max="11523" width="17.42578125" style="1" customWidth="1"/>
    <col min="11524" max="11524" width="15" style="1" customWidth="1"/>
    <col min="11525" max="11525" width="19.5703125" style="1" customWidth="1"/>
    <col min="11526" max="11526" width="14.5703125" style="1" customWidth="1"/>
    <col min="11527" max="11527" width="14.85546875" style="1" bestFit="1" customWidth="1"/>
    <col min="11528" max="11528" width="9.42578125" style="1" bestFit="1" customWidth="1"/>
    <col min="11529" max="11529" width="15.7109375" style="1" customWidth="1"/>
    <col min="11530" max="11530" width="16.140625" style="1" customWidth="1"/>
    <col min="11531" max="11531" width="17.85546875" style="1" customWidth="1"/>
    <col min="11532" max="11532" width="19.42578125" style="1" customWidth="1"/>
    <col min="11533" max="11774" width="11.42578125" style="1"/>
    <col min="11775" max="11775" width="29.5703125" style="1" customWidth="1"/>
    <col min="11776" max="11776" width="13.85546875" style="1" bestFit="1" customWidth="1"/>
    <col min="11777" max="11777" width="11.42578125" style="1"/>
    <col min="11778" max="11778" width="20.42578125" style="1" customWidth="1"/>
    <col min="11779" max="11779" width="17.42578125" style="1" customWidth="1"/>
    <col min="11780" max="11780" width="15" style="1" customWidth="1"/>
    <col min="11781" max="11781" width="19.5703125" style="1" customWidth="1"/>
    <col min="11782" max="11782" width="14.5703125" style="1" customWidth="1"/>
    <col min="11783" max="11783" width="14.85546875" style="1" bestFit="1" customWidth="1"/>
    <col min="11784" max="11784" width="9.42578125" style="1" bestFit="1" customWidth="1"/>
    <col min="11785" max="11785" width="15.7109375" style="1" customWidth="1"/>
    <col min="11786" max="11786" width="16.140625" style="1" customWidth="1"/>
    <col min="11787" max="11787" width="17.85546875" style="1" customWidth="1"/>
    <col min="11788" max="11788" width="19.42578125" style="1" customWidth="1"/>
    <col min="11789" max="12030" width="11.42578125" style="1"/>
    <col min="12031" max="12031" width="29.5703125" style="1" customWidth="1"/>
    <col min="12032" max="12032" width="13.85546875" style="1" bestFit="1" customWidth="1"/>
    <col min="12033" max="12033" width="11.42578125" style="1"/>
    <col min="12034" max="12034" width="20.42578125" style="1" customWidth="1"/>
    <col min="12035" max="12035" width="17.42578125" style="1" customWidth="1"/>
    <col min="12036" max="12036" width="15" style="1" customWidth="1"/>
    <col min="12037" max="12037" width="19.5703125" style="1" customWidth="1"/>
    <col min="12038" max="12038" width="14.5703125" style="1" customWidth="1"/>
    <col min="12039" max="12039" width="14.85546875" style="1" bestFit="1" customWidth="1"/>
    <col min="12040" max="12040" width="9.42578125" style="1" bestFit="1" customWidth="1"/>
    <col min="12041" max="12041" width="15.7109375" style="1" customWidth="1"/>
    <col min="12042" max="12042" width="16.140625" style="1" customWidth="1"/>
    <col min="12043" max="12043" width="17.85546875" style="1" customWidth="1"/>
    <col min="12044" max="12044" width="19.42578125" style="1" customWidth="1"/>
    <col min="12045" max="12286" width="11.42578125" style="1"/>
    <col min="12287" max="12287" width="29.5703125" style="1" customWidth="1"/>
    <col min="12288" max="12288" width="13.85546875" style="1" bestFit="1" customWidth="1"/>
    <col min="12289" max="12289" width="11.42578125" style="1"/>
    <col min="12290" max="12290" width="20.42578125" style="1" customWidth="1"/>
    <col min="12291" max="12291" width="17.42578125" style="1" customWidth="1"/>
    <col min="12292" max="12292" width="15" style="1" customWidth="1"/>
    <col min="12293" max="12293" width="19.5703125" style="1" customWidth="1"/>
    <col min="12294" max="12294" width="14.5703125" style="1" customWidth="1"/>
    <col min="12295" max="12295" width="14.85546875" style="1" bestFit="1" customWidth="1"/>
    <col min="12296" max="12296" width="9.42578125" style="1" bestFit="1" customWidth="1"/>
    <col min="12297" max="12297" width="15.7109375" style="1" customWidth="1"/>
    <col min="12298" max="12298" width="16.140625" style="1" customWidth="1"/>
    <col min="12299" max="12299" width="17.85546875" style="1" customWidth="1"/>
    <col min="12300" max="12300" width="19.42578125" style="1" customWidth="1"/>
    <col min="12301" max="12542" width="11.42578125" style="1"/>
    <col min="12543" max="12543" width="29.5703125" style="1" customWidth="1"/>
    <col min="12544" max="12544" width="13.85546875" style="1" bestFit="1" customWidth="1"/>
    <col min="12545" max="12545" width="11.42578125" style="1"/>
    <col min="12546" max="12546" width="20.42578125" style="1" customWidth="1"/>
    <col min="12547" max="12547" width="17.42578125" style="1" customWidth="1"/>
    <col min="12548" max="12548" width="15" style="1" customWidth="1"/>
    <col min="12549" max="12549" width="19.5703125" style="1" customWidth="1"/>
    <col min="12550" max="12550" width="14.5703125" style="1" customWidth="1"/>
    <col min="12551" max="12551" width="14.85546875" style="1" bestFit="1" customWidth="1"/>
    <col min="12552" max="12552" width="9.42578125" style="1" bestFit="1" customWidth="1"/>
    <col min="12553" max="12553" width="15.7109375" style="1" customWidth="1"/>
    <col min="12554" max="12554" width="16.140625" style="1" customWidth="1"/>
    <col min="12555" max="12555" width="17.85546875" style="1" customWidth="1"/>
    <col min="12556" max="12556" width="19.42578125" style="1" customWidth="1"/>
    <col min="12557" max="12798" width="11.42578125" style="1"/>
    <col min="12799" max="12799" width="29.5703125" style="1" customWidth="1"/>
    <col min="12800" max="12800" width="13.85546875" style="1" bestFit="1" customWidth="1"/>
    <col min="12801" max="12801" width="11.42578125" style="1"/>
    <col min="12802" max="12802" width="20.42578125" style="1" customWidth="1"/>
    <col min="12803" max="12803" width="17.42578125" style="1" customWidth="1"/>
    <col min="12804" max="12804" width="15" style="1" customWidth="1"/>
    <col min="12805" max="12805" width="19.5703125" style="1" customWidth="1"/>
    <col min="12806" max="12806" width="14.5703125" style="1" customWidth="1"/>
    <col min="12807" max="12807" width="14.85546875" style="1" bestFit="1" customWidth="1"/>
    <col min="12808" max="12808" width="9.42578125" style="1" bestFit="1" customWidth="1"/>
    <col min="12809" max="12809" width="15.7109375" style="1" customWidth="1"/>
    <col min="12810" max="12810" width="16.140625" style="1" customWidth="1"/>
    <col min="12811" max="12811" width="17.85546875" style="1" customWidth="1"/>
    <col min="12812" max="12812" width="19.42578125" style="1" customWidth="1"/>
    <col min="12813" max="13054" width="11.42578125" style="1"/>
    <col min="13055" max="13055" width="29.5703125" style="1" customWidth="1"/>
    <col min="13056" max="13056" width="13.85546875" style="1" bestFit="1" customWidth="1"/>
    <col min="13057" max="13057" width="11.42578125" style="1"/>
    <col min="13058" max="13058" width="20.42578125" style="1" customWidth="1"/>
    <col min="13059" max="13059" width="17.42578125" style="1" customWidth="1"/>
    <col min="13060" max="13060" width="15" style="1" customWidth="1"/>
    <col min="13061" max="13061" width="19.5703125" style="1" customWidth="1"/>
    <col min="13062" max="13062" width="14.5703125" style="1" customWidth="1"/>
    <col min="13063" max="13063" width="14.85546875" style="1" bestFit="1" customWidth="1"/>
    <col min="13064" max="13064" width="9.42578125" style="1" bestFit="1" customWidth="1"/>
    <col min="13065" max="13065" width="15.7109375" style="1" customWidth="1"/>
    <col min="13066" max="13066" width="16.140625" style="1" customWidth="1"/>
    <col min="13067" max="13067" width="17.85546875" style="1" customWidth="1"/>
    <col min="13068" max="13068" width="19.42578125" style="1" customWidth="1"/>
    <col min="13069" max="13310" width="11.42578125" style="1"/>
    <col min="13311" max="13311" width="29.5703125" style="1" customWidth="1"/>
    <col min="13312" max="13312" width="13.85546875" style="1" bestFit="1" customWidth="1"/>
    <col min="13313" max="13313" width="11.42578125" style="1"/>
    <col min="13314" max="13314" width="20.42578125" style="1" customWidth="1"/>
    <col min="13315" max="13315" width="17.42578125" style="1" customWidth="1"/>
    <col min="13316" max="13316" width="15" style="1" customWidth="1"/>
    <col min="13317" max="13317" width="19.5703125" style="1" customWidth="1"/>
    <col min="13318" max="13318" width="14.5703125" style="1" customWidth="1"/>
    <col min="13319" max="13319" width="14.85546875" style="1" bestFit="1" customWidth="1"/>
    <col min="13320" max="13320" width="9.42578125" style="1" bestFit="1" customWidth="1"/>
    <col min="13321" max="13321" width="15.7109375" style="1" customWidth="1"/>
    <col min="13322" max="13322" width="16.140625" style="1" customWidth="1"/>
    <col min="13323" max="13323" width="17.85546875" style="1" customWidth="1"/>
    <col min="13324" max="13324" width="19.42578125" style="1" customWidth="1"/>
    <col min="13325" max="13566" width="11.42578125" style="1"/>
    <col min="13567" max="13567" width="29.5703125" style="1" customWidth="1"/>
    <col min="13568" max="13568" width="13.85546875" style="1" bestFit="1" customWidth="1"/>
    <col min="13569" max="13569" width="11.42578125" style="1"/>
    <col min="13570" max="13570" width="20.42578125" style="1" customWidth="1"/>
    <col min="13571" max="13571" width="17.42578125" style="1" customWidth="1"/>
    <col min="13572" max="13572" width="15" style="1" customWidth="1"/>
    <col min="13573" max="13573" width="19.5703125" style="1" customWidth="1"/>
    <col min="13574" max="13574" width="14.5703125" style="1" customWidth="1"/>
    <col min="13575" max="13575" width="14.85546875" style="1" bestFit="1" customWidth="1"/>
    <col min="13576" max="13576" width="9.42578125" style="1" bestFit="1" customWidth="1"/>
    <col min="13577" max="13577" width="15.7109375" style="1" customWidth="1"/>
    <col min="13578" max="13578" width="16.140625" style="1" customWidth="1"/>
    <col min="13579" max="13579" width="17.85546875" style="1" customWidth="1"/>
    <col min="13580" max="13580" width="19.42578125" style="1" customWidth="1"/>
    <col min="13581" max="13822" width="11.42578125" style="1"/>
    <col min="13823" max="13823" width="29.5703125" style="1" customWidth="1"/>
    <col min="13824" max="13824" width="13.85546875" style="1" bestFit="1" customWidth="1"/>
    <col min="13825" max="13825" width="11.42578125" style="1"/>
    <col min="13826" max="13826" width="20.42578125" style="1" customWidth="1"/>
    <col min="13827" max="13827" width="17.42578125" style="1" customWidth="1"/>
    <col min="13828" max="13828" width="15" style="1" customWidth="1"/>
    <col min="13829" max="13829" width="19.5703125" style="1" customWidth="1"/>
    <col min="13830" max="13830" width="14.5703125" style="1" customWidth="1"/>
    <col min="13831" max="13831" width="14.85546875" style="1" bestFit="1" customWidth="1"/>
    <col min="13832" max="13832" width="9.42578125" style="1" bestFit="1" customWidth="1"/>
    <col min="13833" max="13833" width="15.7109375" style="1" customWidth="1"/>
    <col min="13834" max="13834" width="16.140625" style="1" customWidth="1"/>
    <col min="13835" max="13835" width="17.85546875" style="1" customWidth="1"/>
    <col min="13836" max="13836" width="19.42578125" style="1" customWidth="1"/>
    <col min="13837" max="14078" width="11.42578125" style="1"/>
    <col min="14079" max="14079" width="29.5703125" style="1" customWidth="1"/>
    <col min="14080" max="14080" width="13.85546875" style="1" bestFit="1" customWidth="1"/>
    <col min="14081" max="14081" width="11.42578125" style="1"/>
    <col min="14082" max="14082" width="20.42578125" style="1" customWidth="1"/>
    <col min="14083" max="14083" width="17.42578125" style="1" customWidth="1"/>
    <col min="14084" max="14084" width="15" style="1" customWidth="1"/>
    <col min="14085" max="14085" width="19.5703125" style="1" customWidth="1"/>
    <col min="14086" max="14086" width="14.5703125" style="1" customWidth="1"/>
    <col min="14087" max="14087" width="14.85546875" style="1" bestFit="1" customWidth="1"/>
    <col min="14088" max="14088" width="9.42578125" style="1" bestFit="1" customWidth="1"/>
    <col min="14089" max="14089" width="15.7109375" style="1" customWidth="1"/>
    <col min="14090" max="14090" width="16.140625" style="1" customWidth="1"/>
    <col min="14091" max="14091" width="17.85546875" style="1" customWidth="1"/>
    <col min="14092" max="14092" width="19.42578125" style="1" customWidth="1"/>
    <col min="14093" max="14334" width="11.42578125" style="1"/>
    <col min="14335" max="14335" width="29.5703125" style="1" customWidth="1"/>
    <col min="14336" max="14336" width="13.85546875" style="1" bestFit="1" customWidth="1"/>
    <col min="14337" max="14337" width="11.42578125" style="1"/>
    <col min="14338" max="14338" width="20.42578125" style="1" customWidth="1"/>
    <col min="14339" max="14339" width="17.42578125" style="1" customWidth="1"/>
    <col min="14340" max="14340" width="15" style="1" customWidth="1"/>
    <col min="14341" max="14341" width="19.5703125" style="1" customWidth="1"/>
    <col min="14342" max="14342" width="14.5703125" style="1" customWidth="1"/>
    <col min="14343" max="14343" width="14.85546875" style="1" bestFit="1" customWidth="1"/>
    <col min="14344" max="14344" width="9.42578125" style="1" bestFit="1" customWidth="1"/>
    <col min="14345" max="14345" width="15.7109375" style="1" customWidth="1"/>
    <col min="14346" max="14346" width="16.140625" style="1" customWidth="1"/>
    <col min="14347" max="14347" width="17.85546875" style="1" customWidth="1"/>
    <col min="14348" max="14348" width="19.42578125" style="1" customWidth="1"/>
    <col min="14349" max="14590" width="11.42578125" style="1"/>
    <col min="14591" max="14591" width="29.5703125" style="1" customWidth="1"/>
    <col min="14592" max="14592" width="13.85546875" style="1" bestFit="1" customWidth="1"/>
    <col min="14593" max="14593" width="11.42578125" style="1"/>
    <col min="14594" max="14594" width="20.42578125" style="1" customWidth="1"/>
    <col min="14595" max="14595" width="17.42578125" style="1" customWidth="1"/>
    <col min="14596" max="14596" width="15" style="1" customWidth="1"/>
    <col min="14597" max="14597" width="19.5703125" style="1" customWidth="1"/>
    <col min="14598" max="14598" width="14.5703125" style="1" customWidth="1"/>
    <col min="14599" max="14599" width="14.85546875" style="1" bestFit="1" customWidth="1"/>
    <col min="14600" max="14600" width="9.42578125" style="1" bestFit="1" customWidth="1"/>
    <col min="14601" max="14601" width="15.7109375" style="1" customWidth="1"/>
    <col min="14602" max="14602" width="16.140625" style="1" customWidth="1"/>
    <col min="14603" max="14603" width="17.85546875" style="1" customWidth="1"/>
    <col min="14604" max="14604" width="19.42578125" style="1" customWidth="1"/>
    <col min="14605" max="14846" width="11.42578125" style="1"/>
    <col min="14847" max="14847" width="29.5703125" style="1" customWidth="1"/>
    <col min="14848" max="14848" width="13.85546875" style="1" bestFit="1" customWidth="1"/>
    <col min="14849" max="14849" width="11.42578125" style="1"/>
    <col min="14850" max="14850" width="20.42578125" style="1" customWidth="1"/>
    <col min="14851" max="14851" width="17.42578125" style="1" customWidth="1"/>
    <col min="14852" max="14852" width="15" style="1" customWidth="1"/>
    <col min="14853" max="14853" width="19.5703125" style="1" customWidth="1"/>
    <col min="14854" max="14854" width="14.5703125" style="1" customWidth="1"/>
    <col min="14855" max="14855" width="14.85546875" style="1" bestFit="1" customWidth="1"/>
    <col min="14856" max="14856" width="9.42578125" style="1" bestFit="1" customWidth="1"/>
    <col min="14857" max="14857" width="15.7109375" style="1" customWidth="1"/>
    <col min="14858" max="14858" width="16.140625" style="1" customWidth="1"/>
    <col min="14859" max="14859" width="17.85546875" style="1" customWidth="1"/>
    <col min="14860" max="14860" width="19.42578125" style="1" customWidth="1"/>
    <col min="14861" max="15102" width="11.42578125" style="1"/>
    <col min="15103" max="15103" width="29.5703125" style="1" customWidth="1"/>
    <col min="15104" max="15104" width="13.85546875" style="1" bestFit="1" customWidth="1"/>
    <col min="15105" max="15105" width="11.42578125" style="1"/>
    <col min="15106" max="15106" width="20.42578125" style="1" customWidth="1"/>
    <col min="15107" max="15107" width="17.42578125" style="1" customWidth="1"/>
    <col min="15108" max="15108" width="15" style="1" customWidth="1"/>
    <col min="15109" max="15109" width="19.5703125" style="1" customWidth="1"/>
    <col min="15110" max="15110" width="14.5703125" style="1" customWidth="1"/>
    <col min="15111" max="15111" width="14.85546875" style="1" bestFit="1" customWidth="1"/>
    <col min="15112" max="15112" width="9.42578125" style="1" bestFit="1" customWidth="1"/>
    <col min="15113" max="15113" width="15.7109375" style="1" customWidth="1"/>
    <col min="15114" max="15114" width="16.140625" style="1" customWidth="1"/>
    <col min="15115" max="15115" width="17.85546875" style="1" customWidth="1"/>
    <col min="15116" max="15116" width="19.42578125" style="1" customWidth="1"/>
    <col min="15117" max="15358" width="11.42578125" style="1"/>
    <col min="15359" max="15359" width="29.5703125" style="1" customWidth="1"/>
    <col min="15360" max="15360" width="13.85546875" style="1" bestFit="1" customWidth="1"/>
    <col min="15361" max="15361" width="11.42578125" style="1"/>
    <col min="15362" max="15362" width="20.42578125" style="1" customWidth="1"/>
    <col min="15363" max="15363" width="17.42578125" style="1" customWidth="1"/>
    <col min="15364" max="15364" width="15" style="1" customWidth="1"/>
    <col min="15365" max="15365" width="19.5703125" style="1" customWidth="1"/>
    <col min="15366" max="15366" width="14.5703125" style="1" customWidth="1"/>
    <col min="15367" max="15367" width="14.85546875" style="1" bestFit="1" customWidth="1"/>
    <col min="15368" max="15368" width="9.42578125" style="1" bestFit="1" customWidth="1"/>
    <col min="15369" max="15369" width="15.7109375" style="1" customWidth="1"/>
    <col min="15370" max="15370" width="16.140625" style="1" customWidth="1"/>
    <col min="15371" max="15371" width="17.85546875" style="1" customWidth="1"/>
    <col min="15372" max="15372" width="19.42578125" style="1" customWidth="1"/>
    <col min="15373" max="15614" width="11.42578125" style="1"/>
    <col min="15615" max="15615" width="29.5703125" style="1" customWidth="1"/>
    <col min="15616" max="15616" width="13.85546875" style="1" bestFit="1" customWidth="1"/>
    <col min="15617" max="15617" width="11.42578125" style="1"/>
    <col min="15618" max="15618" width="20.42578125" style="1" customWidth="1"/>
    <col min="15619" max="15619" width="17.42578125" style="1" customWidth="1"/>
    <col min="15620" max="15620" width="15" style="1" customWidth="1"/>
    <col min="15621" max="15621" width="19.5703125" style="1" customWidth="1"/>
    <col min="15622" max="15622" width="14.5703125" style="1" customWidth="1"/>
    <col min="15623" max="15623" width="14.85546875" style="1" bestFit="1" customWidth="1"/>
    <col min="15624" max="15624" width="9.42578125" style="1" bestFit="1" customWidth="1"/>
    <col min="15625" max="15625" width="15.7109375" style="1" customWidth="1"/>
    <col min="15626" max="15626" width="16.140625" style="1" customWidth="1"/>
    <col min="15627" max="15627" width="17.85546875" style="1" customWidth="1"/>
    <col min="15628" max="15628" width="19.42578125" style="1" customWidth="1"/>
    <col min="15629" max="15870" width="11.42578125" style="1"/>
    <col min="15871" max="15871" width="29.5703125" style="1" customWidth="1"/>
    <col min="15872" max="15872" width="13.85546875" style="1" bestFit="1" customWidth="1"/>
    <col min="15873" max="15873" width="11.42578125" style="1"/>
    <col min="15874" max="15874" width="20.42578125" style="1" customWidth="1"/>
    <col min="15875" max="15875" width="17.42578125" style="1" customWidth="1"/>
    <col min="15876" max="15876" width="15" style="1" customWidth="1"/>
    <col min="15877" max="15877" width="19.5703125" style="1" customWidth="1"/>
    <col min="15878" max="15878" width="14.5703125" style="1" customWidth="1"/>
    <col min="15879" max="15879" width="14.85546875" style="1" bestFit="1" customWidth="1"/>
    <col min="15880" max="15880" width="9.42578125" style="1" bestFit="1" customWidth="1"/>
    <col min="15881" max="15881" width="15.7109375" style="1" customWidth="1"/>
    <col min="15882" max="15882" width="16.140625" style="1" customWidth="1"/>
    <col min="15883" max="15883" width="17.85546875" style="1" customWidth="1"/>
    <col min="15884" max="15884" width="19.42578125" style="1" customWidth="1"/>
    <col min="15885" max="16126" width="11.42578125" style="1"/>
    <col min="16127" max="16127" width="29.5703125" style="1" customWidth="1"/>
    <col min="16128" max="16128" width="13.85546875" style="1" bestFit="1" customWidth="1"/>
    <col min="16129" max="16129" width="11.42578125" style="1"/>
    <col min="16130" max="16130" width="20.42578125" style="1" customWidth="1"/>
    <col min="16131" max="16131" width="17.42578125" style="1" customWidth="1"/>
    <col min="16132" max="16132" width="15" style="1" customWidth="1"/>
    <col min="16133" max="16133" width="19.5703125" style="1" customWidth="1"/>
    <col min="16134" max="16134" width="14.5703125" style="1" customWidth="1"/>
    <col min="16135" max="16135" width="14.85546875" style="1" bestFit="1" customWidth="1"/>
    <col min="16136" max="16136" width="9.42578125" style="1" bestFit="1" customWidth="1"/>
    <col min="16137" max="16137" width="15.7109375" style="1" customWidth="1"/>
    <col min="16138" max="16138" width="16.140625" style="1" customWidth="1"/>
    <col min="16139" max="16139" width="17.85546875" style="1" customWidth="1"/>
    <col min="16140" max="16140" width="19.42578125" style="1" customWidth="1"/>
    <col min="16141" max="16384" width="11.42578125" style="1"/>
  </cols>
  <sheetData>
    <row r="1" spans="1:12">
      <c r="A1" s="335"/>
      <c r="B1" s="336" t="s">
        <v>356</v>
      </c>
      <c r="C1" s="337"/>
      <c r="D1" s="337"/>
      <c r="E1" s="337"/>
      <c r="F1" s="337"/>
      <c r="G1" s="337"/>
      <c r="H1" s="337"/>
      <c r="I1" s="337"/>
      <c r="J1" s="338"/>
      <c r="K1" s="329" t="s">
        <v>357</v>
      </c>
      <c r="L1" s="330"/>
    </row>
    <row r="2" spans="1:12">
      <c r="A2" s="335"/>
      <c r="B2" s="339"/>
      <c r="C2" s="340"/>
      <c r="D2" s="340"/>
      <c r="E2" s="340"/>
      <c r="F2" s="340"/>
      <c r="G2" s="340"/>
      <c r="H2" s="340"/>
      <c r="I2" s="340"/>
      <c r="J2" s="341"/>
      <c r="K2" s="331" t="s">
        <v>358</v>
      </c>
      <c r="L2" s="332"/>
    </row>
    <row r="3" spans="1:12" ht="13.5" thickBot="1">
      <c r="A3" s="335"/>
      <c r="B3" s="342"/>
      <c r="C3" s="343"/>
      <c r="D3" s="343"/>
      <c r="E3" s="343"/>
      <c r="F3" s="343"/>
      <c r="G3" s="343"/>
      <c r="H3" s="343"/>
      <c r="I3" s="343"/>
      <c r="J3" s="344"/>
      <c r="K3" s="333" t="s">
        <v>359</v>
      </c>
      <c r="L3" s="334"/>
    </row>
    <row r="4" spans="1:12" s="346" customFormat="1" ht="21.75" customHeight="1">
      <c r="A4" s="345" t="s">
        <v>0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</row>
    <row r="5" spans="1:12" s="346" customFormat="1" ht="27" customHeight="1">
      <c r="A5" s="347" t="s">
        <v>1</v>
      </c>
      <c r="B5" s="347" t="s">
        <v>2</v>
      </c>
      <c r="C5" s="348" t="s">
        <v>3</v>
      </c>
      <c r="D5" s="348" t="s">
        <v>4</v>
      </c>
      <c r="E5" s="348" t="s">
        <v>5</v>
      </c>
      <c r="F5" s="348" t="s">
        <v>6</v>
      </c>
      <c r="G5" s="348"/>
      <c r="H5" s="348"/>
      <c r="I5" s="348"/>
      <c r="J5" s="348"/>
      <c r="K5" s="348"/>
      <c r="L5" s="348"/>
    </row>
    <row r="6" spans="1:12" s="205" customFormat="1" ht="32.25" customHeight="1">
      <c r="A6" s="347"/>
      <c r="B6" s="347"/>
      <c r="C6" s="348"/>
      <c r="D6" s="348"/>
      <c r="E6" s="348"/>
      <c r="F6" s="151" t="s">
        <v>7</v>
      </c>
      <c r="G6" s="151" t="s">
        <v>8</v>
      </c>
      <c r="H6" s="151" t="s">
        <v>9</v>
      </c>
      <c r="I6" s="151" t="s">
        <v>10</v>
      </c>
      <c r="J6" s="151" t="s">
        <v>11</v>
      </c>
      <c r="K6" s="151" t="s">
        <v>12</v>
      </c>
      <c r="L6" s="151" t="s">
        <v>13</v>
      </c>
    </row>
    <row r="7" spans="1:12" ht="38.25">
      <c r="A7" s="2" t="s">
        <v>14</v>
      </c>
      <c r="B7" s="3" t="s">
        <v>15</v>
      </c>
      <c r="C7" s="4">
        <v>100</v>
      </c>
      <c r="D7" s="5"/>
      <c r="E7" s="5">
        <f>SUM(F7:L7)</f>
        <v>0</v>
      </c>
      <c r="F7" s="5"/>
      <c r="G7" s="5"/>
      <c r="H7" s="5"/>
      <c r="I7" s="5"/>
      <c r="J7" s="5"/>
      <c r="K7" s="5"/>
      <c r="L7" s="5"/>
    </row>
    <row r="8" spans="1:12" ht="38.25">
      <c r="A8" s="6" t="s">
        <v>16</v>
      </c>
      <c r="B8" s="7" t="s">
        <v>17</v>
      </c>
      <c r="C8" s="7">
        <v>5</v>
      </c>
      <c r="D8" s="5"/>
      <c r="E8" s="5">
        <f>SUM(F8:L8)</f>
        <v>100000000</v>
      </c>
      <c r="F8" s="5"/>
      <c r="G8" s="5"/>
      <c r="H8" s="5"/>
      <c r="I8" s="5">
        <v>100000000</v>
      </c>
      <c r="J8" s="5"/>
      <c r="K8" s="5"/>
      <c r="L8" s="5"/>
    </row>
    <row r="9" spans="1:12" ht="38.25">
      <c r="A9" s="8" t="s">
        <v>18</v>
      </c>
      <c r="B9" s="3" t="s">
        <v>15</v>
      </c>
      <c r="C9" s="4">
        <v>50</v>
      </c>
      <c r="D9" s="5"/>
      <c r="E9" s="5">
        <f>SUM(F9:L9)</f>
        <v>0</v>
      </c>
      <c r="F9" s="5"/>
      <c r="G9" s="5"/>
      <c r="H9" s="5"/>
      <c r="I9" s="5"/>
      <c r="J9" s="5"/>
      <c r="K9" s="5"/>
      <c r="L9" s="5"/>
    </row>
    <row r="10" spans="1:12" ht="38.25">
      <c r="A10" s="6" t="s">
        <v>19</v>
      </c>
      <c r="B10" s="7" t="s">
        <v>20</v>
      </c>
      <c r="C10" s="7">
        <v>2</v>
      </c>
      <c r="D10" s="10"/>
      <c r="E10" s="5">
        <f>SUM(F10:L10)</f>
        <v>500000000</v>
      </c>
      <c r="F10" s="10"/>
      <c r="G10" s="10"/>
      <c r="H10" s="10"/>
      <c r="I10" s="10">
        <v>500000000</v>
      </c>
      <c r="J10" s="10"/>
      <c r="K10" s="10"/>
      <c r="L10" s="10"/>
    </row>
    <row r="11" spans="1:12" ht="89.25">
      <c r="A11" s="2" t="s">
        <v>21</v>
      </c>
      <c r="B11" s="3" t="s">
        <v>15</v>
      </c>
      <c r="C11" s="3">
        <v>34</v>
      </c>
      <c r="D11" s="11"/>
      <c r="E11" s="5">
        <f>SUM(F11:L11)</f>
        <v>0</v>
      </c>
      <c r="F11" s="5"/>
      <c r="G11" s="5"/>
      <c r="H11" s="5"/>
      <c r="I11" s="5"/>
      <c r="J11" s="5"/>
      <c r="K11" s="5"/>
      <c r="L11" s="5"/>
    </row>
    <row r="12" spans="1:12" ht="110.25" customHeight="1">
      <c r="A12" s="6" t="s">
        <v>22</v>
      </c>
      <c r="B12" s="7" t="s">
        <v>15</v>
      </c>
      <c r="C12" s="7">
        <v>1</v>
      </c>
      <c r="D12" s="5"/>
      <c r="E12" s="5"/>
      <c r="F12" s="5"/>
      <c r="G12" s="5"/>
      <c r="H12" s="5"/>
      <c r="I12" s="5"/>
      <c r="J12" s="5"/>
      <c r="K12" s="5"/>
      <c r="L12" s="5"/>
    </row>
    <row r="13" spans="1:12" s="205" customFormat="1" ht="70.5" customHeight="1">
      <c r="A13" s="149" t="s">
        <v>23</v>
      </c>
      <c r="B13" s="7" t="s">
        <v>24</v>
      </c>
      <c r="C13" s="7">
        <v>1</v>
      </c>
      <c r="D13" s="5">
        <f>15000000*4*1.004</f>
        <v>60240000</v>
      </c>
      <c r="E13" s="5">
        <f>+D13</f>
        <v>60240000</v>
      </c>
      <c r="F13" s="5"/>
      <c r="G13" s="5">
        <f>+E13</f>
        <v>60240000</v>
      </c>
      <c r="H13" s="5"/>
      <c r="I13" s="5"/>
      <c r="J13" s="5"/>
      <c r="K13" s="5"/>
      <c r="L13" s="5"/>
    </row>
    <row r="14" spans="1:12" s="205" customFormat="1" ht="36.75" customHeight="1">
      <c r="A14" s="149" t="s">
        <v>25</v>
      </c>
      <c r="B14" s="7" t="s">
        <v>24</v>
      </c>
      <c r="C14" s="7">
        <v>1</v>
      </c>
      <c r="D14" s="5">
        <f>+E14</f>
        <v>393947950</v>
      </c>
      <c r="E14" s="5">
        <v>393947950</v>
      </c>
      <c r="F14" s="5"/>
      <c r="G14" s="5">
        <f>+E14</f>
        <v>393947950</v>
      </c>
      <c r="H14" s="5"/>
      <c r="I14" s="5"/>
      <c r="J14" s="5"/>
      <c r="K14" s="5"/>
      <c r="L14" s="5"/>
    </row>
    <row r="15" spans="1:12" s="205" customFormat="1" ht="56.25" customHeight="1">
      <c r="A15" s="149" t="s">
        <v>26</v>
      </c>
      <c r="B15" s="7" t="s">
        <v>24</v>
      </c>
      <c r="C15" s="7">
        <v>1</v>
      </c>
      <c r="D15" s="5">
        <v>207753334</v>
      </c>
      <c r="E15" s="5">
        <f>+D15</f>
        <v>207753334</v>
      </c>
      <c r="F15" s="5"/>
      <c r="G15" s="5">
        <f>+E15</f>
        <v>207753334</v>
      </c>
      <c r="H15" s="5"/>
      <c r="I15" s="5"/>
      <c r="J15" s="5"/>
      <c r="K15" s="5"/>
      <c r="L15" s="5"/>
    </row>
    <row r="16" spans="1:12" ht="37.5" customHeight="1">
      <c r="A16" s="12" t="s">
        <v>27</v>
      </c>
      <c r="B16" s="13" t="s">
        <v>15</v>
      </c>
      <c r="C16" s="14">
        <v>0.73299999999999998</v>
      </c>
      <c r="D16" s="15"/>
      <c r="E16" s="5">
        <f>SUM(F16:L16)</f>
        <v>0</v>
      </c>
      <c r="F16" s="15"/>
      <c r="G16" s="15"/>
      <c r="H16" s="15"/>
      <c r="I16" s="15"/>
      <c r="J16" s="15"/>
      <c r="K16" s="15"/>
      <c r="L16" s="15"/>
    </row>
    <row r="17" spans="1:12" ht="33.75" customHeight="1">
      <c r="A17" s="16" t="s">
        <v>28</v>
      </c>
      <c r="B17" s="17" t="s">
        <v>29</v>
      </c>
      <c r="C17" s="17">
        <v>2</v>
      </c>
      <c r="D17" s="18"/>
      <c r="E17" s="5">
        <f>SUM(F17:L17)</f>
        <v>160000000</v>
      </c>
      <c r="F17" s="10"/>
      <c r="G17" s="10"/>
      <c r="H17" s="10"/>
      <c r="I17" s="10">
        <v>160000000</v>
      </c>
      <c r="J17" s="10"/>
      <c r="K17" s="10"/>
      <c r="L17" s="10"/>
    </row>
    <row r="18" spans="1:12" ht="56.25" customHeight="1">
      <c r="A18" s="19" t="s">
        <v>30</v>
      </c>
      <c r="B18" s="17" t="s">
        <v>24</v>
      </c>
      <c r="C18" s="17">
        <v>1</v>
      </c>
      <c r="D18" s="18">
        <f>+E18</f>
        <v>16118750</v>
      </c>
      <c r="E18" s="5">
        <f>SUM(F18:L18)</f>
        <v>16118750</v>
      </c>
      <c r="F18" s="10"/>
      <c r="G18" s="10"/>
      <c r="H18" s="10"/>
      <c r="I18" s="10">
        <v>16118750</v>
      </c>
      <c r="J18" s="10"/>
      <c r="K18" s="10"/>
      <c r="L18" s="10"/>
    </row>
    <row r="19" spans="1:12" ht="63" customHeight="1">
      <c r="A19" s="20" t="s">
        <v>31</v>
      </c>
      <c r="B19" s="21" t="s">
        <v>32</v>
      </c>
      <c r="C19" s="21">
        <v>1</v>
      </c>
      <c r="D19" s="10"/>
      <c r="E19" s="5"/>
      <c r="F19" s="10"/>
      <c r="G19" s="10"/>
      <c r="H19" s="10"/>
      <c r="I19" s="10"/>
      <c r="J19" s="10"/>
      <c r="K19" s="10"/>
      <c r="L19" s="10"/>
    </row>
    <row r="20" spans="1:12" ht="30" customHeight="1">
      <c r="A20" s="149" t="s">
        <v>288</v>
      </c>
      <c r="B20" s="7" t="s">
        <v>24</v>
      </c>
      <c r="C20" s="7">
        <v>1</v>
      </c>
      <c r="D20" s="10">
        <f>+E20</f>
        <v>120000000</v>
      </c>
      <c r="E20" s="5">
        <f>SUM(F20:L20)</f>
        <v>120000000</v>
      </c>
      <c r="F20" s="10">
        <v>120000000</v>
      </c>
      <c r="G20" s="10"/>
      <c r="H20" s="10"/>
      <c r="I20" s="10"/>
      <c r="J20" s="10"/>
      <c r="K20" s="10"/>
      <c r="L20" s="10"/>
    </row>
    <row r="21" spans="1:12" ht="51">
      <c r="A21" s="20" t="s">
        <v>33</v>
      </c>
      <c r="B21" s="22" t="s">
        <v>34</v>
      </c>
      <c r="C21" s="23">
        <v>37</v>
      </c>
      <c r="D21" s="24"/>
      <c r="E21" s="5"/>
      <c r="F21" s="10"/>
      <c r="G21" s="15"/>
      <c r="H21" s="15"/>
      <c r="I21" s="15"/>
      <c r="J21" s="15"/>
      <c r="K21" s="15"/>
      <c r="L21" s="15"/>
    </row>
    <row r="22" spans="1:12" ht="33" customHeight="1">
      <c r="A22" s="156" t="s">
        <v>289</v>
      </c>
      <c r="B22" s="17" t="s">
        <v>24</v>
      </c>
      <c r="C22" s="17">
        <v>1</v>
      </c>
      <c r="D22" s="203">
        <f>567045510*1.004+7165337</f>
        <v>576479029.03999996</v>
      </c>
      <c r="E22" s="10">
        <f>+D22*C22</f>
        <v>576479029.03999996</v>
      </c>
      <c r="F22" s="10">
        <f>+E22</f>
        <v>576479029.03999996</v>
      </c>
      <c r="G22" s="15"/>
      <c r="H22" s="15"/>
      <c r="I22" s="15"/>
      <c r="J22" s="15"/>
      <c r="K22" s="15"/>
      <c r="L22" s="15"/>
    </row>
    <row r="23" spans="1:12" ht="33.75" customHeight="1">
      <c r="A23" s="204" t="s">
        <v>290</v>
      </c>
      <c r="B23" s="17" t="s">
        <v>24</v>
      </c>
      <c r="C23" s="17">
        <v>1</v>
      </c>
      <c r="D23" s="10">
        <v>105724440.56091976</v>
      </c>
      <c r="E23" s="10">
        <f>+D23*C23</f>
        <v>105724440.56091976</v>
      </c>
      <c r="F23" s="10">
        <f>+E23</f>
        <v>105724440.56091976</v>
      </c>
      <c r="G23" s="15"/>
      <c r="H23" s="15"/>
      <c r="I23" s="15"/>
      <c r="J23" s="15"/>
      <c r="K23" s="15"/>
      <c r="L23" s="15"/>
    </row>
    <row r="24" spans="1:12" ht="42" customHeight="1">
      <c r="A24" s="204" t="s">
        <v>291</v>
      </c>
      <c r="B24" s="17" t="s">
        <v>84</v>
      </c>
      <c r="C24" s="17">
        <v>11</v>
      </c>
      <c r="D24" s="10">
        <v>2220750</v>
      </c>
      <c r="E24" s="10">
        <f>+D24*C24</f>
        <v>24428250</v>
      </c>
      <c r="F24" s="10">
        <f>+E24</f>
        <v>24428250</v>
      </c>
      <c r="G24" s="15"/>
      <c r="H24" s="15"/>
      <c r="I24" s="15"/>
      <c r="J24" s="15"/>
      <c r="K24" s="15"/>
      <c r="L24" s="15"/>
    </row>
    <row r="25" spans="1:12" ht="39" customHeight="1">
      <c r="A25" s="20" t="s">
        <v>35</v>
      </c>
      <c r="B25" s="23" t="s">
        <v>36</v>
      </c>
      <c r="C25" s="23">
        <v>1</v>
      </c>
      <c r="D25" s="24"/>
      <c r="E25" s="5">
        <f>SUM(F25:L25)</f>
        <v>0</v>
      </c>
      <c r="F25" s="15"/>
      <c r="G25" s="15"/>
      <c r="H25" s="15"/>
      <c r="I25" s="15"/>
      <c r="J25" s="15"/>
      <c r="K25" s="15"/>
      <c r="L25" s="15"/>
    </row>
    <row r="26" spans="1:12" ht="24" customHeight="1">
      <c r="A26" s="279" t="s">
        <v>37</v>
      </c>
      <c r="B26" s="279"/>
      <c r="C26" s="279"/>
      <c r="D26" s="279"/>
      <c r="E26" s="25">
        <f t="shared" ref="E26:L26" si="0">SUM(E7:E25)</f>
        <v>2264691753.6009197</v>
      </c>
      <c r="F26" s="25">
        <f t="shared" si="0"/>
        <v>826631719.60091972</v>
      </c>
      <c r="G26" s="25">
        <f t="shared" si="0"/>
        <v>661941284</v>
      </c>
      <c r="H26" s="25">
        <f t="shared" si="0"/>
        <v>0</v>
      </c>
      <c r="I26" s="25">
        <f t="shared" si="0"/>
        <v>776118750</v>
      </c>
      <c r="J26" s="25">
        <f t="shared" si="0"/>
        <v>0</v>
      </c>
      <c r="K26" s="25">
        <f t="shared" si="0"/>
        <v>0</v>
      </c>
      <c r="L26" s="25">
        <f t="shared" si="0"/>
        <v>0</v>
      </c>
    </row>
    <row r="27" spans="1:12">
      <c r="A27" s="280" t="s">
        <v>38</v>
      </c>
      <c r="B27" s="280"/>
      <c r="C27" s="280"/>
      <c r="D27" s="280"/>
      <c r="E27" s="25">
        <f>+'FUENTES Y USOS'!S4</f>
        <v>2264691753.5609198</v>
      </c>
      <c r="F27" s="25">
        <f>+'FUENTES Y USOS'!M4</f>
        <v>826631719.21000004</v>
      </c>
      <c r="G27" s="25">
        <f>+'FUENTES Y USOS'!N4</f>
        <v>661941284.35091972</v>
      </c>
      <c r="H27" s="25">
        <f>+'FUENTES Y USOS'!O4</f>
        <v>0</v>
      </c>
      <c r="I27" s="25">
        <f>+'FUENTES Y USOS'!P4</f>
        <v>776118750</v>
      </c>
      <c r="J27" s="25">
        <f>+'FUENTES Y USOS'!Q4</f>
        <v>0</v>
      </c>
      <c r="K27" s="25">
        <f>+'FUENTES Y USOS'!R4</f>
        <v>0</v>
      </c>
      <c r="L27" s="25"/>
    </row>
    <row r="28" spans="1:12">
      <c r="A28" s="279" t="s">
        <v>39</v>
      </c>
      <c r="B28" s="279"/>
      <c r="C28" s="279"/>
      <c r="D28" s="279"/>
      <c r="E28" s="26">
        <f>+E27-E26</f>
        <v>-3.9999961853027344E-2</v>
      </c>
      <c r="F28" s="26">
        <f t="shared" ref="F28:L28" si="1">+F27-F26</f>
        <v>-0.39091968536376953</v>
      </c>
      <c r="G28" s="26">
        <f t="shared" si="1"/>
        <v>0.35091972351074219</v>
      </c>
      <c r="H28" s="26">
        <f t="shared" si="1"/>
        <v>0</v>
      </c>
      <c r="I28" s="26">
        <f t="shared" si="1"/>
        <v>0</v>
      </c>
      <c r="J28" s="26">
        <f t="shared" si="1"/>
        <v>0</v>
      </c>
      <c r="K28" s="26">
        <f t="shared" si="1"/>
        <v>0</v>
      </c>
      <c r="L28" s="26">
        <f t="shared" si="1"/>
        <v>0</v>
      </c>
    </row>
    <row r="29" spans="1:12">
      <c r="F29" s="27"/>
    </row>
    <row r="30" spans="1:12">
      <c r="E30" s="9"/>
      <c r="F30" s="9"/>
      <c r="G30" s="9"/>
      <c r="H30" s="9"/>
      <c r="I30" s="9"/>
      <c r="J30" s="9"/>
      <c r="K30" s="9"/>
      <c r="L30" s="9"/>
    </row>
    <row r="31" spans="1:12">
      <c r="A31" s="28"/>
      <c r="B31" s="1" t="s">
        <v>40</v>
      </c>
      <c r="F31" s="9" t="s">
        <v>41</v>
      </c>
    </row>
    <row r="32" spans="1:12">
      <c r="A32" s="29"/>
      <c r="B32" s="1" t="s">
        <v>42</v>
      </c>
      <c r="E32" s="9"/>
      <c r="F32" s="9"/>
      <c r="J32" s="9"/>
      <c r="K32" s="9"/>
      <c r="L32" s="9"/>
    </row>
  </sheetData>
  <mergeCells count="14">
    <mergeCell ref="B1:J3"/>
    <mergeCell ref="K1:L1"/>
    <mergeCell ref="K2:L2"/>
    <mergeCell ref="K3:L3"/>
    <mergeCell ref="A26:D26"/>
    <mergeCell ref="A27:D27"/>
    <mergeCell ref="A28:D28"/>
    <mergeCell ref="A4:L4"/>
    <mergeCell ref="A5:A6"/>
    <mergeCell ref="B5:B6"/>
    <mergeCell ref="C5:C6"/>
    <mergeCell ref="D5:D6"/>
    <mergeCell ref="E5:E6"/>
    <mergeCell ref="F5:L5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B1" workbookViewId="0">
      <pane ySplit="6" topLeftCell="A7" activePane="bottomLeft" state="frozen"/>
      <selection pane="bottomLeft" sqref="A1:L3"/>
    </sheetView>
  </sheetViews>
  <sheetFormatPr baseColWidth="10" defaultRowHeight="12.75"/>
  <cols>
    <col min="1" max="1" width="39.42578125" style="192" customWidth="1"/>
    <col min="2" max="2" width="13.85546875" style="192" bestFit="1" customWidth="1"/>
    <col min="3" max="3" width="11.7109375" style="192" bestFit="1" customWidth="1"/>
    <col min="4" max="4" width="16.85546875" style="192" customWidth="1"/>
    <col min="5" max="5" width="18.140625" style="192" bestFit="1" customWidth="1"/>
    <col min="6" max="6" width="14.85546875" style="192" bestFit="1" customWidth="1"/>
    <col min="7" max="7" width="14.28515625" style="192" customWidth="1"/>
    <col min="8" max="8" width="14.85546875" style="192" customWidth="1"/>
    <col min="9" max="11" width="11.5703125" style="192" bestFit="1" customWidth="1"/>
    <col min="12" max="12" width="16.5703125" style="192" bestFit="1" customWidth="1"/>
    <col min="13" max="13" width="11.42578125" style="192"/>
    <col min="14" max="14" width="13.85546875" style="192" bestFit="1" customWidth="1"/>
    <col min="15" max="256" width="11.42578125" style="192"/>
    <col min="257" max="257" width="39.42578125" style="192" customWidth="1"/>
    <col min="258" max="258" width="13.85546875" style="192" bestFit="1" customWidth="1"/>
    <col min="259" max="259" width="11.7109375" style="192" bestFit="1" customWidth="1"/>
    <col min="260" max="260" width="16.85546875" style="192" customWidth="1"/>
    <col min="261" max="261" width="18.140625" style="192" bestFit="1" customWidth="1"/>
    <col min="262" max="262" width="14.85546875" style="192" bestFit="1" customWidth="1"/>
    <col min="263" max="263" width="14.28515625" style="192" customWidth="1"/>
    <col min="264" max="267" width="11.5703125" style="192" bestFit="1" customWidth="1"/>
    <col min="268" max="268" width="16.5703125" style="192" bestFit="1" customWidth="1"/>
    <col min="269" max="269" width="11.42578125" style="192"/>
    <col min="270" max="270" width="13.85546875" style="192" bestFit="1" customWidth="1"/>
    <col min="271" max="512" width="11.42578125" style="192"/>
    <col min="513" max="513" width="39.42578125" style="192" customWidth="1"/>
    <col min="514" max="514" width="13.85546875" style="192" bestFit="1" customWidth="1"/>
    <col min="515" max="515" width="11.7109375" style="192" bestFit="1" customWidth="1"/>
    <col min="516" max="516" width="16.85546875" style="192" customWidth="1"/>
    <col min="517" max="517" width="18.140625" style="192" bestFit="1" customWidth="1"/>
    <col min="518" max="518" width="14.85546875" style="192" bestFit="1" customWidth="1"/>
    <col min="519" max="519" width="14.28515625" style="192" customWidth="1"/>
    <col min="520" max="523" width="11.5703125" style="192" bestFit="1" customWidth="1"/>
    <col min="524" max="524" width="16.5703125" style="192" bestFit="1" customWidth="1"/>
    <col min="525" max="525" width="11.42578125" style="192"/>
    <col min="526" max="526" width="13.85546875" style="192" bestFit="1" customWidth="1"/>
    <col min="527" max="768" width="11.42578125" style="192"/>
    <col min="769" max="769" width="39.42578125" style="192" customWidth="1"/>
    <col min="770" max="770" width="13.85546875" style="192" bestFit="1" customWidth="1"/>
    <col min="771" max="771" width="11.7109375" style="192" bestFit="1" customWidth="1"/>
    <col min="772" max="772" width="16.85546875" style="192" customWidth="1"/>
    <col min="773" max="773" width="18.140625" style="192" bestFit="1" customWidth="1"/>
    <col min="774" max="774" width="14.85546875" style="192" bestFit="1" customWidth="1"/>
    <col min="775" max="775" width="14.28515625" style="192" customWidth="1"/>
    <col min="776" max="779" width="11.5703125" style="192" bestFit="1" customWidth="1"/>
    <col min="780" max="780" width="16.5703125" style="192" bestFit="1" customWidth="1"/>
    <col min="781" max="781" width="11.42578125" style="192"/>
    <col min="782" max="782" width="13.85546875" style="192" bestFit="1" customWidth="1"/>
    <col min="783" max="1024" width="11.42578125" style="192"/>
    <col min="1025" max="1025" width="39.42578125" style="192" customWidth="1"/>
    <col min="1026" max="1026" width="13.85546875" style="192" bestFit="1" customWidth="1"/>
    <col min="1027" max="1027" width="11.7109375" style="192" bestFit="1" customWidth="1"/>
    <col min="1028" max="1028" width="16.85546875" style="192" customWidth="1"/>
    <col min="1029" max="1029" width="18.140625" style="192" bestFit="1" customWidth="1"/>
    <col min="1030" max="1030" width="14.85546875" style="192" bestFit="1" customWidth="1"/>
    <col min="1031" max="1031" width="14.28515625" style="192" customWidth="1"/>
    <col min="1032" max="1035" width="11.5703125" style="192" bestFit="1" customWidth="1"/>
    <col min="1036" max="1036" width="16.5703125" style="192" bestFit="1" customWidth="1"/>
    <col min="1037" max="1037" width="11.42578125" style="192"/>
    <col min="1038" max="1038" width="13.85546875" style="192" bestFit="1" customWidth="1"/>
    <col min="1039" max="1280" width="11.42578125" style="192"/>
    <col min="1281" max="1281" width="39.42578125" style="192" customWidth="1"/>
    <col min="1282" max="1282" width="13.85546875" style="192" bestFit="1" customWidth="1"/>
    <col min="1283" max="1283" width="11.7109375" style="192" bestFit="1" customWidth="1"/>
    <col min="1284" max="1284" width="16.85546875" style="192" customWidth="1"/>
    <col min="1285" max="1285" width="18.140625" style="192" bestFit="1" customWidth="1"/>
    <col min="1286" max="1286" width="14.85546875" style="192" bestFit="1" customWidth="1"/>
    <col min="1287" max="1287" width="14.28515625" style="192" customWidth="1"/>
    <col min="1288" max="1291" width="11.5703125" style="192" bestFit="1" customWidth="1"/>
    <col min="1292" max="1292" width="16.5703125" style="192" bestFit="1" customWidth="1"/>
    <col min="1293" max="1293" width="11.42578125" style="192"/>
    <col min="1294" max="1294" width="13.85546875" style="192" bestFit="1" customWidth="1"/>
    <col min="1295" max="1536" width="11.42578125" style="192"/>
    <col min="1537" max="1537" width="39.42578125" style="192" customWidth="1"/>
    <col min="1538" max="1538" width="13.85546875" style="192" bestFit="1" customWidth="1"/>
    <col min="1539" max="1539" width="11.7109375" style="192" bestFit="1" customWidth="1"/>
    <col min="1540" max="1540" width="16.85546875" style="192" customWidth="1"/>
    <col min="1541" max="1541" width="18.140625" style="192" bestFit="1" customWidth="1"/>
    <col min="1542" max="1542" width="14.85546875" style="192" bestFit="1" customWidth="1"/>
    <col min="1543" max="1543" width="14.28515625" style="192" customWidth="1"/>
    <col min="1544" max="1547" width="11.5703125" style="192" bestFit="1" customWidth="1"/>
    <col min="1548" max="1548" width="16.5703125" style="192" bestFit="1" customWidth="1"/>
    <col min="1549" max="1549" width="11.42578125" style="192"/>
    <col min="1550" max="1550" width="13.85546875" style="192" bestFit="1" customWidth="1"/>
    <col min="1551" max="1792" width="11.42578125" style="192"/>
    <col min="1793" max="1793" width="39.42578125" style="192" customWidth="1"/>
    <col min="1794" max="1794" width="13.85546875" style="192" bestFit="1" customWidth="1"/>
    <col min="1795" max="1795" width="11.7109375" style="192" bestFit="1" customWidth="1"/>
    <col min="1796" max="1796" width="16.85546875" style="192" customWidth="1"/>
    <col min="1797" max="1797" width="18.140625" style="192" bestFit="1" customWidth="1"/>
    <col min="1798" max="1798" width="14.85546875" style="192" bestFit="1" customWidth="1"/>
    <col min="1799" max="1799" width="14.28515625" style="192" customWidth="1"/>
    <col min="1800" max="1803" width="11.5703125" style="192" bestFit="1" customWidth="1"/>
    <col min="1804" max="1804" width="16.5703125" style="192" bestFit="1" customWidth="1"/>
    <col min="1805" max="1805" width="11.42578125" style="192"/>
    <col min="1806" max="1806" width="13.85546875" style="192" bestFit="1" customWidth="1"/>
    <col min="1807" max="2048" width="11.42578125" style="192"/>
    <col min="2049" max="2049" width="39.42578125" style="192" customWidth="1"/>
    <col min="2050" max="2050" width="13.85546875" style="192" bestFit="1" customWidth="1"/>
    <col min="2051" max="2051" width="11.7109375" style="192" bestFit="1" customWidth="1"/>
    <col min="2052" max="2052" width="16.85546875" style="192" customWidth="1"/>
    <col min="2053" max="2053" width="18.140625" style="192" bestFit="1" customWidth="1"/>
    <col min="2054" max="2054" width="14.85546875" style="192" bestFit="1" customWidth="1"/>
    <col min="2055" max="2055" width="14.28515625" style="192" customWidth="1"/>
    <col min="2056" max="2059" width="11.5703125" style="192" bestFit="1" customWidth="1"/>
    <col min="2060" max="2060" width="16.5703125" style="192" bestFit="1" customWidth="1"/>
    <col min="2061" max="2061" width="11.42578125" style="192"/>
    <col min="2062" max="2062" width="13.85546875" style="192" bestFit="1" customWidth="1"/>
    <col min="2063" max="2304" width="11.42578125" style="192"/>
    <col min="2305" max="2305" width="39.42578125" style="192" customWidth="1"/>
    <col min="2306" max="2306" width="13.85546875" style="192" bestFit="1" customWidth="1"/>
    <col min="2307" max="2307" width="11.7109375" style="192" bestFit="1" customWidth="1"/>
    <col min="2308" max="2308" width="16.85546875" style="192" customWidth="1"/>
    <col min="2309" max="2309" width="18.140625" style="192" bestFit="1" customWidth="1"/>
    <col min="2310" max="2310" width="14.85546875" style="192" bestFit="1" customWidth="1"/>
    <col min="2311" max="2311" width="14.28515625" style="192" customWidth="1"/>
    <col min="2312" max="2315" width="11.5703125" style="192" bestFit="1" customWidth="1"/>
    <col min="2316" max="2316" width="16.5703125" style="192" bestFit="1" customWidth="1"/>
    <col min="2317" max="2317" width="11.42578125" style="192"/>
    <col min="2318" max="2318" width="13.85546875" style="192" bestFit="1" customWidth="1"/>
    <col min="2319" max="2560" width="11.42578125" style="192"/>
    <col min="2561" max="2561" width="39.42578125" style="192" customWidth="1"/>
    <col min="2562" max="2562" width="13.85546875" style="192" bestFit="1" customWidth="1"/>
    <col min="2563" max="2563" width="11.7109375" style="192" bestFit="1" customWidth="1"/>
    <col min="2564" max="2564" width="16.85546875" style="192" customWidth="1"/>
    <col min="2565" max="2565" width="18.140625" style="192" bestFit="1" customWidth="1"/>
    <col min="2566" max="2566" width="14.85546875" style="192" bestFit="1" customWidth="1"/>
    <col min="2567" max="2567" width="14.28515625" style="192" customWidth="1"/>
    <col min="2568" max="2571" width="11.5703125" style="192" bestFit="1" customWidth="1"/>
    <col min="2572" max="2572" width="16.5703125" style="192" bestFit="1" customWidth="1"/>
    <col min="2573" max="2573" width="11.42578125" style="192"/>
    <col min="2574" max="2574" width="13.85546875" style="192" bestFit="1" customWidth="1"/>
    <col min="2575" max="2816" width="11.42578125" style="192"/>
    <col min="2817" max="2817" width="39.42578125" style="192" customWidth="1"/>
    <col min="2818" max="2818" width="13.85546875" style="192" bestFit="1" customWidth="1"/>
    <col min="2819" max="2819" width="11.7109375" style="192" bestFit="1" customWidth="1"/>
    <col min="2820" max="2820" width="16.85546875" style="192" customWidth="1"/>
    <col min="2821" max="2821" width="18.140625" style="192" bestFit="1" customWidth="1"/>
    <col min="2822" max="2822" width="14.85546875" style="192" bestFit="1" customWidth="1"/>
    <col min="2823" max="2823" width="14.28515625" style="192" customWidth="1"/>
    <col min="2824" max="2827" width="11.5703125" style="192" bestFit="1" customWidth="1"/>
    <col min="2828" max="2828" width="16.5703125" style="192" bestFit="1" customWidth="1"/>
    <col min="2829" max="2829" width="11.42578125" style="192"/>
    <col min="2830" max="2830" width="13.85546875" style="192" bestFit="1" customWidth="1"/>
    <col min="2831" max="3072" width="11.42578125" style="192"/>
    <col min="3073" max="3073" width="39.42578125" style="192" customWidth="1"/>
    <col min="3074" max="3074" width="13.85546875" style="192" bestFit="1" customWidth="1"/>
    <col min="3075" max="3075" width="11.7109375" style="192" bestFit="1" customWidth="1"/>
    <col min="3076" max="3076" width="16.85546875" style="192" customWidth="1"/>
    <col min="3077" max="3077" width="18.140625" style="192" bestFit="1" customWidth="1"/>
    <col min="3078" max="3078" width="14.85546875" style="192" bestFit="1" customWidth="1"/>
    <col min="3079" max="3079" width="14.28515625" style="192" customWidth="1"/>
    <col min="3080" max="3083" width="11.5703125" style="192" bestFit="1" customWidth="1"/>
    <col min="3084" max="3084" width="16.5703125" style="192" bestFit="1" customWidth="1"/>
    <col min="3085" max="3085" width="11.42578125" style="192"/>
    <col min="3086" max="3086" width="13.85546875" style="192" bestFit="1" customWidth="1"/>
    <col min="3087" max="3328" width="11.42578125" style="192"/>
    <col min="3329" max="3329" width="39.42578125" style="192" customWidth="1"/>
    <col min="3330" max="3330" width="13.85546875" style="192" bestFit="1" customWidth="1"/>
    <col min="3331" max="3331" width="11.7109375" style="192" bestFit="1" customWidth="1"/>
    <col min="3332" max="3332" width="16.85546875" style="192" customWidth="1"/>
    <col min="3333" max="3333" width="18.140625" style="192" bestFit="1" customWidth="1"/>
    <col min="3334" max="3334" width="14.85546875" style="192" bestFit="1" customWidth="1"/>
    <col min="3335" max="3335" width="14.28515625" style="192" customWidth="1"/>
    <col min="3336" max="3339" width="11.5703125" style="192" bestFit="1" customWidth="1"/>
    <col min="3340" max="3340" width="16.5703125" style="192" bestFit="1" customWidth="1"/>
    <col min="3341" max="3341" width="11.42578125" style="192"/>
    <col min="3342" max="3342" width="13.85546875" style="192" bestFit="1" customWidth="1"/>
    <col min="3343" max="3584" width="11.42578125" style="192"/>
    <col min="3585" max="3585" width="39.42578125" style="192" customWidth="1"/>
    <col min="3586" max="3586" width="13.85546875" style="192" bestFit="1" customWidth="1"/>
    <col min="3587" max="3587" width="11.7109375" style="192" bestFit="1" customWidth="1"/>
    <col min="3588" max="3588" width="16.85546875" style="192" customWidth="1"/>
    <col min="3589" max="3589" width="18.140625" style="192" bestFit="1" customWidth="1"/>
    <col min="3590" max="3590" width="14.85546875" style="192" bestFit="1" customWidth="1"/>
    <col min="3591" max="3591" width="14.28515625" style="192" customWidth="1"/>
    <col min="3592" max="3595" width="11.5703125" style="192" bestFit="1" customWidth="1"/>
    <col min="3596" max="3596" width="16.5703125" style="192" bestFit="1" customWidth="1"/>
    <col min="3597" max="3597" width="11.42578125" style="192"/>
    <col min="3598" max="3598" width="13.85546875" style="192" bestFit="1" customWidth="1"/>
    <col min="3599" max="3840" width="11.42578125" style="192"/>
    <col min="3841" max="3841" width="39.42578125" style="192" customWidth="1"/>
    <col min="3842" max="3842" width="13.85546875" style="192" bestFit="1" customWidth="1"/>
    <col min="3843" max="3843" width="11.7109375" style="192" bestFit="1" customWidth="1"/>
    <col min="3844" max="3844" width="16.85546875" style="192" customWidth="1"/>
    <col min="3845" max="3845" width="18.140625" style="192" bestFit="1" customWidth="1"/>
    <col min="3846" max="3846" width="14.85546875" style="192" bestFit="1" customWidth="1"/>
    <col min="3847" max="3847" width="14.28515625" style="192" customWidth="1"/>
    <col min="3848" max="3851" width="11.5703125" style="192" bestFit="1" customWidth="1"/>
    <col min="3852" max="3852" width="16.5703125" style="192" bestFit="1" customWidth="1"/>
    <col min="3853" max="3853" width="11.42578125" style="192"/>
    <col min="3854" max="3854" width="13.85546875" style="192" bestFit="1" customWidth="1"/>
    <col min="3855" max="4096" width="11.42578125" style="192"/>
    <col min="4097" max="4097" width="39.42578125" style="192" customWidth="1"/>
    <col min="4098" max="4098" width="13.85546875" style="192" bestFit="1" customWidth="1"/>
    <col min="4099" max="4099" width="11.7109375" style="192" bestFit="1" customWidth="1"/>
    <col min="4100" max="4100" width="16.85546875" style="192" customWidth="1"/>
    <col min="4101" max="4101" width="18.140625" style="192" bestFit="1" customWidth="1"/>
    <col min="4102" max="4102" width="14.85546875" style="192" bestFit="1" customWidth="1"/>
    <col min="4103" max="4103" width="14.28515625" style="192" customWidth="1"/>
    <col min="4104" max="4107" width="11.5703125" style="192" bestFit="1" customWidth="1"/>
    <col min="4108" max="4108" width="16.5703125" style="192" bestFit="1" customWidth="1"/>
    <col min="4109" max="4109" width="11.42578125" style="192"/>
    <col min="4110" max="4110" width="13.85546875" style="192" bestFit="1" customWidth="1"/>
    <col min="4111" max="4352" width="11.42578125" style="192"/>
    <col min="4353" max="4353" width="39.42578125" style="192" customWidth="1"/>
    <col min="4354" max="4354" width="13.85546875" style="192" bestFit="1" customWidth="1"/>
    <col min="4355" max="4355" width="11.7109375" style="192" bestFit="1" customWidth="1"/>
    <col min="4356" max="4356" width="16.85546875" style="192" customWidth="1"/>
    <col min="4357" max="4357" width="18.140625" style="192" bestFit="1" customWidth="1"/>
    <col min="4358" max="4358" width="14.85546875" style="192" bestFit="1" customWidth="1"/>
    <col min="4359" max="4359" width="14.28515625" style="192" customWidth="1"/>
    <col min="4360" max="4363" width="11.5703125" style="192" bestFit="1" customWidth="1"/>
    <col min="4364" max="4364" width="16.5703125" style="192" bestFit="1" customWidth="1"/>
    <col min="4365" max="4365" width="11.42578125" style="192"/>
    <col min="4366" max="4366" width="13.85546875" style="192" bestFit="1" customWidth="1"/>
    <col min="4367" max="4608" width="11.42578125" style="192"/>
    <col min="4609" max="4609" width="39.42578125" style="192" customWidth="1"/>
    <col min="4610" max="4610" width="13.85546875" style="192" bestFit="1" customWidth="1"/>
    <col min="4611" max="4611" width="11.7109375" style="192" bestFit="1" customWidth="1"/>
    <col min="4612" max="4612" width="16.85546875" style="192" customWidth="1"/>
    <col min="4613" max="4613" width="18.140625" style="192" bestFit="1" customWidth="1"/>
    <col min="4614" max="4614" width="14.85546875" style="192" bestFit="1" customWidth="1"/>
    <col min="4615" max="4615" width="14.28515625" style="192" customWidth="1"/>
    <col min="4616" max="4619" width="11.5703125" style="192" bestFit="1" customWidth="1"/>
    <col min="4620" max="4620" width="16.5703125" style="192" bestFit="1" customWidth="1"/>
    <col min="4621" max="4621" width="11.42578125" style="192"/>
    <col min="4622" max="4622" width="13.85546875" style="192" bestFit="1" customWidth="1"/>
    <col min="4623" max="4864" width="11.42578125" style="192"/>
    <col min="4865" max="4865" width="39.42578125" style="192" customWidth="1"/>
    <col min="4866" max="4866" width="13.85546875" style="192" bestFit="1" customWidth="1"/>
    <col min="4867" max="4867" width="11.7109375" style="192" bestFit="1" customWidth="1"/>
    <col min="4868" max="4868" width="16.85546875" style="192" customWidth="1"/>
    <col min="4869" max="4869" width="18.140625" style="192" bestFit="1" customWidth="1"/>
    <col min="4870" max="4870" width="14.85546875" style="192" bestFit="1" customWidth="1"/>
    <col min="4871" max="4871" width="14.28515625" style="192" customWidth="1"/>
    <col min="4872" max="4875" width="11.5703125" style="192" bestFit="1" customWidth="1"/>
    <col min="4876" max="4876" width="16.5703125" style="192" bestFit="1" customWidth="1"/>
    <col min="4877" max="4877" width="11.42578125" style="192"/>
    <col min="4878" max="4878" width="13.85546875" style="192" bestFit="1" customWidth="1"/>
    <col min="4879" max="5120" width="11.42578125" style="192"/>
    <col min="5121" max="5121" width="39.42578125" style="192" customWidth="1"/>
    <col min="5122" max="5122" width="13.85546875" style="192" bestFit="1" customWidth="1"/>
    <col min="5123" max="5123" width="11.7109375" style="192" bestFit="1" customWidth="1"/>
    <col min="5124" max="5124" width="16.85546875" style="192" customWidth="1"/>
    <col min="5125" max="5125" width="18.140625" style="192" bestFit="1" customWidth="1"/>
    <col min="5126" max="5126" width="14.85546875" style="192" bestFit="1" customWidth="1"/>
    <col min="5127" max="5127" width="14.28515625" style="192" customWidth="1"/>
    <col min="5128" max="5131" width="11.5703125" style="192" bestFit="1" customWidth="1"/>
    <col min="5132" max="5132" width="16.5703125" style="192" bestFit="1" customWidth="1"/>
    <col min="5133" max="5133" width="11.42578125" style="192"/>
    <col min="5134" max="5134" width="13.85546875" style="192" bestFit="1" customWidth="1"/>
    <col min="5135" max="5376" width="11.42578125" style="192"/>
    <col min="5377" max="5377" width="39.42578125" style="192" customWidth="1"/>
    <col min="5378" max="5378" width="13.85546875" style="192" bestFit="1" customWidth="1"/>
    <col min="5379" max="5379" width="11.7109375" style="192" bestFit="1" customWidth="1"/>
    <col min="5380" max="5380" width="16.85546875" style="192" customWidth="1"/>
    <col min="5381" max="5381" width="18.140625" style="192" bestFit="1" customWidth="1"/>
    <col min="5382" max="5382" width="14.85546875" style="192" bestFit="1" customWidth="1"/>
    <col min="5383" max="5383" width="14.28515625" style="192" customWidth="1"/>
    <col min="5384" max="5387" width="11.5703125" style="192" bestFit="1" customWidth="1"/>
    <col min="5388" max="5388" width="16.5703125" style="192" bestFit="1" customWidth="1"/>
    <col min="5389" max="5389" width="11.42578125" style="192"/>
    <col min="5390" max="5390" width="13.85546875" style="192" bestFit="1" customWidth="1"/>
    <col min="5391" max="5632" width="11.42578125" style="192"/>
    <col min="5633" max="5633" width="39.42578125" style="192" customWidth="1"/>
    <col min="5634" max="5634" width="13.85546875" style="192" bestFit="1" customWidth="1"/>
    <col min="5635" max="5635" width="11.7109375" style="192" bestFit="1" customWidth="1"/>
    <col min="5636" max="5636" width="16.85546875" style="192" customWidth="1"/>
    <col min="5637" max="5637" width="18.140625" style="192" bestFit="1" customWidth="1"/>
    <col min="5638" max="5638" width="14.85546875" style="192" bestFit="1" customWidth="1"/>
    <col min="5639" max="5639" width="14.28515625" style="192" customWidth="1"/>
    <col min="5640" max="5643" width="11.5703125" style="192" bestFit="1" customWidth="1"/>
    <col min="5644" max="5644" width="16.5703125" style="192" bestFit="1" customWidth="1"/>
    <col min="5645" max="5645" width="11.42578125" style="192"/>
    <col min="5646" max="5646" width="13.85546875" style="192" bestFit="1" customWidth="1"/>
    <col min="5647" max="5888" width="11.42578125" style="192"/>
    <col min="5889" max="5889" width="39.42578125" style="192" customWidth="1"/>
    <col min="5890" max="5890" width="13.85546875" style="192" bestFit="1" customWidth="1"/>
    <col min="5891" max="5891" width="11.7109375" style="192" bestFit="1" customWidth="1"/>
    <col min="5892" max="5892" width="16.85546875" style="192" customWidth="1"/>
    <col min="5893" max="5893" width="18.140625" style="192" bestFit="1" customWidth="1"/>
    <col min="5894" max="5894" width="14.85546875" style="192" bestFit="1" customWidth="1"/>
    <col min="5895" max="5895" width="14.28515625" style="192" customWidth="1"/>
    <col min="5896" max="5899" width="11.5703125" style="192" bestFit="1" customWidth="1"/>
    <col min="5900" max="5900" width="16.5703125" style="192" bestFit="1" customWidth="1"/>
    <col min="5901" max="5901" width="11.42578125" style="192"/>
    <col min="5902" max="5902" width="13.85546875" style="192" bestFit="1" customWidth="1"/>
    <col min="5903" max="6144" width="11.42578125" style="192"/>
    <col min="6145" max="6145" width="39.42578125" style="192" customWidth="1"/>
    <col min="6146" max="6146" width="13.85546875" style="192" bestFit="1" customWidth="1"/>
    <col min="6147" max="6147" width="11.7109375" style="192" bestFit="1" customWidth="1"/>
    <col min="6148" max="6148" width="16.85546875" style="192" customWidth="1"/>
    <col min="6149" max="6149" width="18.140625" style="192" bestFit="1" customWidth="1"/>
    <col min="6150" max="6150" width="14.85546875" style="192" bestFit="1" customWidth="1"/>
    <col min="6151" max="6151" width="14.28515625" style="192" customWidth="1"/>
    <col min="6152" max="6155" width="11.5703125" style="192" bestFit="1" customWidth="1"/>
    <col min="6156" max="6156" width="16.5703125" style="192" bestFit="1" customWidth="1"/>
    <col min="6157" max="6157" width="11.42578125" style="192"/>
    <col min="6158" max="6158" width="13.85546875" style="192" bestFit="1" customWidth="1"/>
    <col min="6159" max="6400" width="11.42578125" style="192"/>
    <col min="6401" max="6401" width="39.42578125" style="192" customWidth="1"/>
    <col min="6402" max="6402" width="13.85546875" style="192" bestFit="1" customWidth="1"/>
    <col min="6403" max="6403" width="11.7109375" style="192" bestFit="1" customWidth="1"/>
    <col min="6404" max="6404" width="16.85546875" style="192" customWidth="1"/>
    <col min="6405" max="6405" width="18.140625" style="192" bestFit="1" customWidth="1"/>
    <col min="6406" max="6406" width="14.85546875" style="192" bestFit="1" customWidth="1"/>
    <col min="6407" max="6407" width="14.28515625" style="192" customWidth="1"/>
    <col min="6408" max="6411" width="11.5703125" style="192" bestFit="1" customWidth="1"/>
    <col min="6412" max="6412" width="16.5703125" style="192" bestFit="1" customWidth="1"/>
    <col min="6413" max="6413" width="11.42578125" style="192"/>
    <col min="6414" max="6414" width="13.85546875" style="192" bestFit="1" customWidth="1"/>
    <col min="6415" max="6656" width="11.42578125" style="192"/>
    <col min="6657" max="6657" width="39.42578125" style="192" customWidth="1"/>
    <col min="6658" max="6658" width="13.85546875" style="192" bestFit="1" customWidth="1"/>
    <col min="6659" max="6659" width="11.7109375" style="192" bestFit="1" customWidth="1"/>
    <col min="6660" max="6660" width="16.85546875" style="192" customWidth="1"/>
    <col min="6661" max="6661" width="18.140625" style="192" bestFit="1" customWidth="1"/>
    <col min="6662" max="6662" width="14.85546875" style="192" bestFit="1" customWidth="1"/>
    <col min="6663" max="6663" width="14.28515625" style="192" customWidth="1"/>
    <col min="6664" max="6667" width="11.5703125" style="192" bestFit="1" customWidth="1"/>
    <col min="6668" max="6668" width="16.5703125" style="192" bestFit="1" customWidth="1"/>
    <col min="6669" max="6669" width="11.42578125" style="192"/>
    <col min="6670" max="6670" width="13.85546875" style="192" bestFit="1" customWidth="1"/>
    <col min="6671" max="6912" width="11.42578125" style="192"/>
    <col min="6913" max="6913" width="39.42578125" style="192" customWidth="1"/>
    <col min="6914" max="6914" width="13.85546875" style="192" bestFit="1" customWidth="1"/>
    <col min="6915" max="6915" width="11.7109375" style="192" bestFit="1" customWidth="1"/>
    <col min="6916" max="6916" width="16.85546875" style="192" customWidth="1"/>
    <col min="6917" max="6917" width="18.140625" style="192" bestFit="1" customWidth="1"/>
    <col min="6918" max="6918" width="14.85546875" style="192" bestFit="1" customWidth="1"/>
    <col min="6919" max="6919" width="14.28515625" style="192" customWidth="1"/>
    <col min="6920" max="6923" width="11.5703125" style="192" bestFit="1" customWidth="1"/>
    <col min="6924" max="6924" width="16.5703125" style="192" bestFit="1" customWidth="1"/>
    <col min="6925" max="6925" width="11.42578125" style="192"/>
    <col min="6926" max="6926" width="13.85546875" style="192" bestFit="1" customWidth="1"/>
    <col min="6927" max="7168" width="11.42578125" style="192"/>
    <col min="7169" max="7169" width="39.42578125" style="192" customWidth="1"/>
    <col min="7170" max="7170" width="13.85546875" style="192" bestFit="1" customWidth="1"/>
    <col min="7171" max="7171" width="11.7109375" style="192" bestFit="1" customWidth="1"/>
    <col min="7172" max="7172" width="16.85546875" style="192" customWidth="1"/>
    <col min="7173" max="7173" width="18.140625" style="192" bestFit="1" customWidth="1"/>
    <col min="7174" max="7174" width="14.85546875" style="192" bestFit="1" customWidth="1"/>
    <col min="7175" max="7175" width="14.28515625" style="192" customWidth="1"/>
    <col min="7176" max="7179" width="11.5703125" style="192" bestFit="1" customWidth="1"/>
    <col min="7180" max="7180" width="16.5703125" style="192" bestFit="1" customWidth="1"/>
    <col min="7181" max="7181" width="11.42578125" style="192"/>
    <col min="7182" max="7182" width="13.85546875" style="192" bestFit="1" customWidth="1"/>
    <col min="7183" max="7424" width="11.42578125" style="192"/>
    <col min="7425" max="7425" width="39.42578125" style="192" customWidth="1"/>
    <col min="7426" max="7426" width="13.85546875" style="192" bestFit="1" customWidth="1"/>
    <col min="7427" max="7427" width="11.7109375" style="192" bestFit="1" customWidth="1"/>
    <col min="7428" max="7428" width="16.85546875" style="192" customWidth="1"/>
    <col min="7429" max="7429" width="18.140625" style="192" bestFit="1" customWidth="1"/>
    <col min="7430" max="7430" width="14.85546875" style="192" bestFit="1" customWidth="1"/>
    <col min="7431" max="7431" width="14.28515625" style="192" customWidth="1"/>
    <col min="7432" max="7435" width="11.5703125" style="192" bestFit="1" customWidth="1"/>
    <col min="7436" max="7436" width="16.5703125" style="192" bestFit="1" customWidth="1"/>
    <col min="7437" max="7437" width="11.42578125" style="192"/>
    <col min="7438" max="7438" width="13.85546875" style="192" bestFit="1" customWidth="1"/>
    <col min="7439" max="7680" width="11.42578125" style="192"/>
    <col min="7681" max="7681" width="39.42578125" style="192" customWidth="1"/>
    <col min="7682" max="7682" width="13.85546875" style="192" bestFit="1" customWidth="1"/>
    <col min="7683" max="7683" width="11.7109375" style="192" bestFit="1" customWidth="1"/>
    <col min="7684" max="7684" width="16.85546875" style="192" customWidth="1"/>
    <col min="7685" max="7685" width="18.140625" style="192" bestFit="1" customWidth="1"/>
    <col min="7686" max="7686" width="14.85546875" style="192" bestFit="1" customWidth="1"/>
    <col min="7687" max="7687" width="14.28515625" style="192" customWidth="1"/>
    <col min="7688" max="7691" width="11.5703125" style="192" bestFit="1" customWidth="1"/>
    <col min="7692" max="7692" width="16.5703125" style="192" bestFit="1" customWidth="1"/>
    <col min="7693" max="7693" width="11.42578125" style="192"/>
    <col min="7694" max="7694" width="13.85546875" style="192" bestFit="1" customWidth="1"/>
    <col min="7695" max="7936" width="11.42578125" style="192"/>
    <col min="7937" max="7937" width="39.42578125" style="192" customWidth="1"/>
    <col min="7938" max="7938" width="13.85546875" style="192" bestFit="1" customWidth="1"/>
    <col min="7939" max="7939" width="11.7109375" style="192" bestFit="1" customWidth="1"/>
    <col min="7940" max="7940" width="16.85546875" style="192" customWidth="1"/>
    <col min="7941" max="7941" width="18.140625" style="192" bestFit="1" customWidth="1"/>
    <col min="7942" max="7942" width="14.85546875" style="192" bestFit="1" customWidth="1"/>
    <col min="7943" max="7943" width="14.28515625" style="192" customWidth="1"/>
    <col min="7944" max="7947" width="11.5703125" style="192" bestFit="1" customWidth="1"/>
    <col min="7948" max="7948" width="16.5703125" style="192" bestFit="1" customWidth="1"/>
    <col min="7949" max="7949" width="11.42578125" style="192"/>
    <col min="7950" max="7950" width="13.85546875" style="192" bestFit="1" customWidth="1"/>
    <col min="7951" max="8192" width="11.42578125" style="192"/>
    <col min="8193" max="8193" width="39.42578125" style="192" customWidth="1"/>
    <col min="8194" max="8194" width="13.85546875" style="192" bestFit="1" customWidth="1"/>
    <col min="8195" max="8195" width="11.7109375" style="192" bestFit="1" customWidth="1"/>
    <col min="8196" max="8196" width="16.85546875" style="192" customWidth="1"/>
    <col min="8197" max="8197" width="18.140625" style="192" bestFit="1" customWidth="1"/>
    <col min="8198" max="8198" width="14.85546875" style="192" bestFit="1" customWidth="1"/>
    <col min="8199" max="8199" width="14.28515625" style="192" customWidth="1"/>
    <col min="8200" max="8203" width="11.5703125" style="192" bestFit="1" customWidth="1"/>
    <col min="8204" max="8204" width="16.5703125" style="192" bestFit="1" customWidth="1"/>
    <col min="8205" max="8205" width="11.42578125" style="192"/>
    <col min="8206" max="8206" width="13.85546875" style="192" bestFit="1" customWidth="1"/>
    <col min="8207" max="8448" width="11.42578125" style="192"/>
    <col min="8449" max="8449" width="39.42578125" style="192" customWidth="1"/>
    <col min="8450" max="8450" width="13.85546875" style="192" bestFit="1" customWidth="1"/>
    <col min="8451" max="8451" width="11.7109375" style="192" bestFit="1" customWidth="1"/>
    <col min="8452" max="8452" width="16.85546875" style="192" customWidth="1"/>
    <col min="8453" max="8453" width="18.140625" style="192" bestFit="1" customWidth="1"/>
    <col min="8454" max="8454" width="14.85546875" style="192" bestFit="1" customWidth="1"/>
    <col min="8455" max="8455" width="14.28515625" style="192" customWidth="1"/>
    <col min="8456" max="8459" width="11.5703125" style="192" bestFit="1" customWidth="1"/>
    <col min="8460" max="8460" width="16.5703125" style="192" bestFit="1" customWidth="1"/>
    <col min="8461" max="8461" width="11.42578125" style="192"/>
    <col min="8462" max="8462" width="13.85546875" style="192" bestFit="1" customWidth="1"/>
    <col min="8463" max="8704" width="11.42578125" style="192"/>
    <col min="8705" max="8705" width="39.42578125" style="192" customWidth="1"/>
    <col min="8706" max="8706" width="13.85546875" style="192" bestFit="1" customWidth="1"/>
    <col min="8707" max="8707" width="11.7109375" style="192" bestFit="1" customWidth="1"/>
    <col min="8708" max="8708" width="16.85546875" style="192" customWidth="1"/>
    <col min="8709" max="8709" width="18.140625" style="192" bestFit="1" customWidth="1"/>
    <col min="8710" max="8710" width="14.85546875" style="192" bestFit="1" customWidth="1"/>
    <col min="8711" max="8711" width="14.28515625" style="192" customWidth="1"/>
    <col min="8712" max="8715" width="11.5703125" style="192" bestFit="1" customWidth="1"/>
    <col min="8716" max="8716" width="16.5703125" style="192" bestFit="1" customWidth="1"/>
    <col min="8717" max="8717" width="11.42578125" style="192"/>
    <col min="8718" max="8718" width="13.85546875" style="192" bestFit="1" customWidth="1"/>
    <col min="8719" max="8960" width="11.42578125" style="192"/>
    <col min="8961" max="8961" width="39.42578125" style="192" customWidth="1"/>
    <col min="8962" max="8962" width="13.85546875" style="192" bestFit="1" customWidth="1"/>
    <col min="8963" max="8963" width="11.7109375" style="192" bestFit="1" customWidth="1"/>
    <col min="8964" max="8964" width="16.85546875" style="192" customWidth="1"/>
    <col min="8965" max="8965" width="18.140625" style="192" bestFit="1" customWidth="1"/>
    <col min="8966" max="8966" width="14.85546875" style="192" bestFit="1" customWidth="1"/>
    <col min="8967" max="8967" width="14.28515625" style="192" customWidth="1"/>
    <col min="8968" max="8971" width="11.5703125" style="192" bestFit="1" customWidth="1"/>
    <col min="8972" max="8972" width="16.5703125" style="192" bestFit="1" customWidth="1"/>
    <col min="8973" max="8973" width="11.42578125" style="192"/>
    <col min="8974" max="8974" width="13.85546875" style="192" bestFit="1" customWidth="1"/>
    <col min="8975" max="9216" width="11.42578125" style="192"/>
    <col min="9217" max="9217" width="39.42578125" style="192" customWidth="1"/>
    <col min="9218" max="9218" width="13.85546875" style="192" bestFit="1" customWidth="1"/>
    <col min="9219" max="9219" width="11.7109375" style="192" bestFit="1" customWidth="1"/>
    <col min="9220" max="9220" width="16.85546875" style="192" customWidth="1"/>
    <col min="9221" max="9221" width="18.140625" style="192" bestFit="1" customWidth="1"/>
    <col min="9222" max="9222" width="14.85546875" style="192" bestFit="1" customWidth="1"/>
    <col min="9223" max="9223" width="14.28515625" style="192" customWidth="1"/>
    <col min="9224" max="9227" width="11.5703125" style="192" bestFit="1" customWidth="1"/>
    <col min="9228" max="9228" width="16.5703125" style="192" bestFit="1" customWidth="1"/>
    <col min="9229" max="9229" width="11.42578125" style="192"/>
    <col min="9230" max="9230" width="13.85546875" style="192" bestFit="1" customWidth="1"/>
    <col min="9231" max="9472" width="11.42578125" style="192"/>
    <col min="9473" max="9473" width="39.42578125" style="192" customWidth="1"/>
    <col min="9474" max="9474" width="13.85546875" style="192" bestFit="1" customWidth="1"/>
    <col min="9475" max="9475" width="11.7109375" style="192" bestFit="1" customWidth="1"/>
    <col min="9476" max="9476" width="16.85546875" style="192" customWidth="1"/>
    <col min="9477" max="9477" width="18.140625" style="192" bestFit="1" customWidth="1"/>
    <col min="9478" max="9478" width="14.85546875" style="192" bestFit="1" customWidth="1"/>
    <col min="9479" max="9479" width="14.28515625" style="192" customWidth="1"/>
    <col min="9480" max="9483" width="11.5703125" style="192" bestFit="1" customWidth="1"/>
    <col min="9484" max="9484" width="16.5703125" style="192" bestFit="1" customWidth="1"/>
    <col min="9485" max="9485" width="11.42578125" style="192"/>
    <col min="9486" max="9486" width="13.85546875" style="192" bestFit="1" customWidth="1"/>
    <col min="9487" max="9728" width="11.42578125" style="192"/>
    <col min="9729" max="9729" width="39.42578125" style="192" customWidth="1"/>
    <col min="9730" max="9730" width="13.85546875" style="192" bestFit="1" customWidth="1"/>
    <col min="9731" max="9731" width="11.7109375" style="192" bestFit="1" customWidth="1"/>
    <col min="9732" max="9732" width="16.85546875" style="192" customWidth="1"/>
    <col min="9733" max="9733" width="18.140625" style="192" bestFit="1" customWidth="1"/>
    <col min="9734" max="9734" width="14.85546875" style="192" bestFit="1" customWidth="1"/>
    <col min="9735" max="9735" width="14.28515625" style="192" customWidth="1"/>
    <col min="9736" max="9739" width="11.5703125" style="192" bestFit="1" customWidth="1"/>
    <col min="9740" max="9740" width="16.5703125" style="192" bestFit="1" customWidth="1"/>
    <col min="9741" max="9741" width="11.42578125" style="192"/>
    <col min="9742" max="9742" width="13.85546875" style="192" bestFit="1" customWidth="1"/>
    <col min="9743" max="9984" width="11.42578125" style="192"/>
    <col min="9985" max="9985" width="39.42578125" style="192" customWidth="1"/>
    <col min="9986" max="9986" width="13.85546875" style="192" bestFit="1" customWidth="1"/>
    <col min="9987" max="9987" width="11.7109375" style="192" bestFit="1" customWidth="1"/>
    <col min="9988" max="9988" width="16.85546875" style="192" customWidth="1"/>
    <col min="9989" max="9989" width="18.140625" style="192" bestFit="1" customWidth="1"/>
    <col min="9990" max="9990" width="14.85546875" style="192" bestFit="1" customWidth="1"/>
    <col min="9991" max="9991" width="14.28515625" style="192" customWidth="1"/>
    <col min="9992" max="9995" width="11.5703125" style="192" bestFit="1" customWidth="1"/>
    <col min="9996" max="9996" width="16.5703125" style="192" bestFit="1" customWidth="1"/>
    <col min="9997" max="9997" width="11.42578125" style="192"/>
    <col min="9998" max="9998" width="13.85546875" style="192" bestFit="1" customWidth="1"/>
    <col min="9999" max="10240" width="11.42578125" style="192"/>
    <col min="10241" max="10241" width="39.42578125" style="192" customWidth="1"/>
    <col min="10242" max="10242" width="13.85546875" style="192" bestFit="1" customWidth="1"/>
    <col min="10243" max="10243" width="11.7109375" style="192" bestFit="1" customWidth="1"/>
    <col min="10244" max="10244" width="16.85546875" style="192" customWidth="1"/>
    <col min="10245" max="10245" width="18.140625" style="192" bestFit="1" customWidth="1"/>
    <col min="10246" max="10246" width="14.85546875" style="192" bestFit="1" customWidth="1"/>
    <col min="10247" max="10247" width="14.28515625" style="192" customWidth="1"/>
    <col min="10248" max="10251" width="11.5703125" style="192" bestFit="1" customWidth="1"/>
    <col min="10252" max="10252" width="16.5703125" style="192" bestFit="1" customWidth="1"/>
    <col min="10253" max="10253" width="11.42578125" style="192"/>
    <col min="10254" max="10254" width="13.85546875" style="192" bestFit="1" customWidth="1"/>
    <col min="10255" max="10496" width="11.42578125" style="192"/>
    <col min="10497" max="10497" width="39.42578125" style="192" customWidth="1"/>
    <col min="10498" max="10498" width="13.85546875" style="192" bestFit="1" customWidth="1"/>
    <col min="10499" max="10499" width="11.7109375" style="192" bestFit="1" customWidth="1"/>
    <col min="10500" max="10500" width="16.85546875" style="192" customWidth="1"/>
    <col min="10501" max="10501" width="18.140625" style="192" bestFit="1" customWidth="1"/>
    <col min="10502" max="10502" width="14.85546875" style="192" bestFit="1" customWidth="1"/>
    <col min="10503" max="10503" width="14.28515625" style="192" customWidth="1"/>
    <col min="10504" max="10507" width="11.5703125" style="192" bestFit="1" customWidth="1"/>
    <col min="10508" max="10508" width="16.5703125" style="192" bestFit="1" customWidth="1"/>
    <col min="10509" max="10509" width="11.42578125" style="192"/>
    <col min="10510" max="10510" width="13.85546875" style="192" bestFit="1" customWidth="1"/>
    <col min="10511" max="10752" width="11.42578125" style="192"/>
    <col min="10753" max="10753" width="39.42578125" style="192" customWidth="1"/>
    <col min="10754" max="10754" width="13.85546875" style="192" bestFit="1" customWidth="1"/>
    <col min="10755" max="10755" width="11.7109375" style="192" bestFit="1" customWidth="1"/>
    <col min="10756" max="10756" width="16.85546875" style="192" customWidth="1"/>
    <col min="10757" max="10757" width="18.140625" style="192" bestFit="1" customWidth="1"/>
    <col min="10758" max="10758" width="14.85546875" style="192" bestFit="1" customWidth="1"/>
    <col min="10759" max="10759" width="14.28515625" style="192" customWidth="1"/>
    <col min="10760" max="10763" width="11.5703125" style="192" bestFit="1" customWidth="1"/>
    <col min="10764" max="10764" width="16.5703125" style="192" bestFit="1" customWidth="1"/>
    <col min="10765" max="10765" width="11.42578125" style="192"/>
    <col min="10766" max="10766" width="13.85546875" style="192" bestFit="1" customWidth="1"/>
    <col min="10767" max="11008" width="11.42578125" style="192"/>
    <col min="11009" max="11009" width="39.42578125" style="192" customWidth="1"/>
    <col min="11010" max="11010" width="13.85546875" style="192" bestFit="1" customWidth="1"/>
    <col min="11011" max="11011" width="11.7109375" style="192" bestFit="1" customWidth="1"/>
    <col min="11012" max="11012" width="16.85546875" style="192" customWidth="1"/>
    <col min="11013" max="11013" width="18.140625" style="192" bestFit="1" customWidth="1"/>
    <col min="11014" max="11014" width="14.85546875" style="192" bestFit="1" customWidth="1"/>
    <col min="11015" max="11015" width="14.28515625" style="192" customWidth="1"/>
    <col min="11016" max="11019" width="11.5703125" style="192" bestFit="1" customWidth="1"/>
    <col min="11020" max="11020" width="16.5703125" style="192" bestFit="1" customWidth="1"/>
    <col min="11021" max="11021" width="11.42578125" style="192"/>
    <col min="11022" max="11022" width="13.85546875" style="192" bestFit="1" customWidth="1"/>
    <col min="11023" max="11264" width="11.42578125" style="192"/>
    <col min="11265" max="11265" width="39.42578125" style="192" customWidth="1"/>
    <col min="11266" max="11266" width="13.85546875" style="192" bestFit="1" customWidth="1"/>
    <col min="11267" max="11267" width="11.7109375" style="192" bestFit="1" customWidth="1"/>
    <col min="11268" max="11268" width="16.85546875" style="192" customWidth="1"/>
    <col min="11269" max="11269" width="18.140625" style="192" bestFit="1" customWidth="1"/>
    <col min="11270" max="11270" width="14.85546875" style="192" bestFit="1" customWidth="1"/>
    <col min="11271" max="11271" width="14.28515625" style="192" customWidth="1"/>
    <col min="11272" max="11275" width="11.5703125" style="192" bestFit="1" customWidth="1"/>
    <col min="11276" max="11276" width="16.5703125" style="192" bestFit="1" customWidth="1"/>
    <col min="11277" max="11277" width="11.42578125" style="192"/>
    <col min="11278" max="11278" width="13.85546875" style="192" bestFit="1" customWidth="1"/>
    <col min="11279" max="11520" width="11.42578125" style="192"/>
    <col min="11521" max="11521" width="39.42578125" style="192" customWidth="1"/>
    <col min="11522" max="11522" width="13.85546875" style="192" bestFit="1" customWidth="1"/>
    <col min="11523" max="11523" width="11.7109375" style="192" bestFit="1" customWidth="1"/>
    <col min="11524" max="11524" width="16.85546875" style="192" customWidth="1"/>
    <col min="11525" max="11525" width="18.140625" style="192" bestFit="1" customWidth="1"/>
    <col min="11526" max="11526" width="14.85546875" style="192" bestFit="1" customWidth="1"/>
    <col min="11527" max="11527" width="14.28515625" style="192" customWidth="1"/>
    <col min="11528" max="11531" width="11.5703125" style="192" bestFit="1" customWidth="1"/>
    <col min="11532" max="11532" width="16.5703125" style="192" bestFit="1" customWidth="1"/>
    <col min="11533" max="11533" width="11.42578125" style="192"/>
    <col min="11534" max="11534" width="13.85546875" style="192" bestFit="1" customWidth="1"/>
    <col min="11535" max="11776" width="11.42578125" style="192"/>
    <col min="11777" max="11777" width="39.42578125" style="192" customWidth="1"/>
    <col min="11778" max="11778" width="13.85546875" style="192" bestFit="1" customWidth="1"/>
    <col min="11779" max="11779" width="11.7109375" style="192" bestFit="1" customWidth="1"/>
    <col min="11780" max="11780" width="16.85546875" style="192" customWidth="1"/>
    <col min="11781" max="11781" width="18.140625" style="192" bestFit="1" customWidth="1"/>
    <col min="11782" max="11782" width="14.85546875" style="192" bestFit="1" customWidth="1"/>
    <col min="11783" max="11783" width="14.28515625" style="192" customWidth="1"/>
    <col min="11784" max="11787" width="11.5703125" style="192" bestFit="1" customWidth="1"/>
    <col min="11788" max="11788" width="16.5703125" style="192" bestFit="1" customWidth="1"/>
    <col min="11789" max="11789" width="11.42578125" style="192"/>
    <col min="11790" max="11790" width="13.85546875" style="192" bestFit="1" customWidth="1"/>
    <col min="11791" max="12032" width="11.42578125" style="192"/>
    <col min="12033" max="12033" width="39.42578125" style="192" customWidth="1"/>
    <col min="12034" max="12034" width="13.85546875" style="192" bestFit="1" customWidth="1"/>
    <col min="12035" max="12035" width="11.7109375" style="192" bestFit="1" customWidth="1"/>
    <col min="12036" max="12036" width="16.85546875" style="192" customWidth="1"/>
    <col min="12037" max="12037" width="18.140625" style="192" bestFit="1" customWidth="1"/>
    <col min="12038" max="12038" width="14.85546875" style="192" bestFit="1" customWidth="1"/>
    <col min="12039" max="12039" width="14.28515625" style="192" customWidth="1"/>
    <col min="12040" max="12043" width="11.5703125" style="192" bestFit="1" customWidth="1"/>
    <col min="12044" max="12044" width="16.5703125" style="192" bestFit="1" customWidth="1"/>
    <col min="12045" max="12045" width="11.42578125" style="192"/>
    <col min="12046" max="12046" width="13.85546875" style="192" bestFit="1" customWidth="1"/>
    <col min="12047" max="12288" width="11.42578125" style="192"/>
    <col min="12289" max="12289" width="39.42578125" style="192" customWidth="1"/>
    <col min="12290" max="12290" width="13.85546875" style="192" bestFit="1" customWidth="1"/>
    <col min="12291" max="12291" width="11.7109375" style="192" bestFit="1" customWidth="1"/>
    <col min="12292" max="12292" width="16.85546875" style="192" customWidth="1"/>
    <col min="12293" max="12293" width="18.140625" style="192" bestFit="1" customWidth="1"/>
    <col min="12294" max="12294" width="14.85546875" style="192" bestFit="1" customWidth="1"/>
    <col min="12295" max="12295" width="14.28515625" style="192" customWidth="1"/>
    <col min="12296" max="12299" width="11.5703125" style="192" bestFit="1" customWidth="1"/>
    <col min="12300" max="12300" width="16.5703125" style="192" bestFit="1" customWidth="1"/>
    <col min="12301" max="12301" width="11.42578125" style="192"/>
    <col min="12302" max="12302" width="13.85546875" style="192" bestFit="1" customWidth="1"/>
    <col min="12303" max="12544" width="11.42578125" style="192"/>
    <col min="12545" max="12545" width="39.42578125" style="192" customWidth="1"/>
    <col min="12546" max="12546" width="13.85546875" style="192" bestFit="1" customWidth="1"/>
    <col min="12547" max="12547" width="11.7109375" style="192" bestFit="1" customWidth="1"/>
    <col min="12548" max="12548" width="16.85546875" style="192" customWidth="1"/>
    <col min="12549" max="12549" width="18.140625" style="192" bestFit="1" customWidth="1"/>
    <col min="12550" max="12550" width="14.85546875" style="192" bestFit="1" customWidth="1"/>
    <col min="12551" max="12551" width="14.28515625" style="192" customWidth="1"/>
    <col min="12552" max="12555" width="11.5703125" style="192" bestFit="1" customWidth="1"/>
    <col min="12556" max="12556" width="16.5703125" style="192" bestFit="1" customWidth="1"/>
    <col min="12557" max="12557" width="11.42578125" style="192"/>
    <col min="12558" max="12558" width="13.85546875" style="192" bestFit="1" customWidth="1"/>
    <col min="12559" max="12800" width="11.42578125" style="192"/>
    <col min="12801" max="12801" width="39.42578125" style="192" customWidth="1"/>
    <col min="12802" max="12802" width="13.85546875" style="192" bestFit="1" customWidth="1"/>
    <col min="12803" max="12803" width="11.7109375" style="192" bestFit="1" customWidth="1"/>
    <col min="12804" max="12804" width="16.85546875" style="192" customWidth="1"/>
    <col min="12805" max="12805" width="18.140625" style="192" bestFit="1" customWidth="1"/>
    <col min="12806" max="12806" width="14.85546875" style="192" bestFit="1" customWidth="1"/>
    <col min="12807" max="12807" width="14.28515625" style="192" customWidth="1"/>
    <col min="12808" max="12811" width="11.5703125" style="192" bestFit="1" customWidth="1"/>
    <col min="12812" max="12812" width="16.5703125" style="192" bestFit="1" customWidth="1"/>
    <col min="12813" max="12813" width="11.42578125" style="192"/>
    <col min="12814" max="12814" width="13.85546875" style="192" bestFit="1" customWidth="1"/>
    <col min="12815" max="13056" width="11.42578125" style="192"/>
    <col min="13057" max="13057" width="39.42578125" style="192" customWidth="1"/>
    <col min="13058" max="13058" width="13.85546875" style="192" bestFit="1" customWidth="1"/>
    <col min="13059" max="13059" width="11.7109375" style="192" bestFit="1" customWidth="1"/>
    <col min="13060" max="13060" width="16.85546875" style="192" customWidth="1"/>
    <col min="13061" max="13061" width="18.140625" style="192" bestFit="1" customWidth="1"/>
    <col min="13062" max="13062" width="14.85546875" style="192" bestFit="1" customWidth="1"/>
    <col min="13063" max="13063" width="14.28515625" style="192" customWidth="1"/>
    <col min="13064" max="13067" width="11.5703125" style="192" bestFit="1" customWidth="1"/>
    <col min="13068" max="13068" width="16.5703125" style="192" bestFit="1" customWidth="1"/>
    <col min="13069" max="13069" width="11.42578125" style="192"/>
    <col min="13070" max="13070" width="13.85546875" style="192" bestFit="1" customWidth="1"/>
    <col min="13071" max="13312" width="11.42578125" style="192"/>
    <col min="13313" max="13313" width="39.42578125" style="192" customWidth="1"/>
    <col min="13314" max="13314" width="13.85546875" style="192" bestFit="1" customWidth="1"/>
    <col min="13315" max="13315" width="11.7109375" style="192" bestFit="1" customWidth="1"/>
    <col min="13316" max="13316" width="16.85546875" style="192" customWidth="1"/>
    <col min="13317" max="13317" width="18.140625" style="192" bestFit="1" customWidth="1"/>
    <col min="13318" max="13318" width="14.85546875" style="192" bestFit="1" customWidth="1"/>
    <col min="13319" max="13319" width="14.28515625" style="192" customWidth="1"/>
    <col min="13320" max="13323" width="11.5703125" style="192" bestFit="1" customWidth="1"/>
    <col min="13324" max="13324" width="16.5703125" style="192" bestFit="1" customWidth="1"/>
    <col min="13325" max="13325" width="11.42578125" style="192"/>
    <col min="13326" max="13326" width="13.85546875" style="192" bestFit="1" customWidth="1"/>
    <col min="13327" max="13568" width="11.42578125" style="192"/>
    <col min="13569" max="13569" width="39.42578125" style="192" customWidth="1"/>
    <col min="13570" max="13570" width="13.85546875" style="192" bestFit="1" customWidth="1"/>
    <col min="13571" max="13571" width="11.7109375" style="192" bestFit="1" customWidth="1"/>
    <col min="13572" max="13572" width="16.85546875" style="192" customWidth="1"/>
    <col min="13573" max="13573" width="18.140625" style="192" bestFit="1" customWidth="1"/>
    <col min="13574" max="13574" width="14.85546875" style="192" bestFit="1" customWidth="1"/>
    <col min="13575" max="13575" width="14.28515625" style="192" customWidth="1"/>
    <col min="13576" max="13579" width="11.5703125" style="192" bestFit="1" customWidth="1"/>
    <col min="13580" max="13580" width="16.5703125" style="192" bestFit="1" customWidth="1"/>
    <col min="13581" max="13581" width="11.42578125" style="192"/>
    <col min="13582" max="13582" width="13.85546875" style="192" bestFit="1" customWidth="1"/>
    <col min="13583" max="13824" width="11.42578125" style="192"/>
    <col min="13825" max="13825" width="39.42578125" style="192" customWidth="1"/>
    <col min="13826" max="13826" width="13.85546875" style="192" bestFit="1" customWidth="1"/>
    <col min="13827" max="13827" width="11.7109375" style="192" bestFit="1" customWidth="1"/>
    <col min="13828" max="13828" width="16.85546875" style="192" customWidth="1"/>
    <col min="13829" max="13829" width="18.140625" style="192" bestFit="1" customWidth="1"/>
    <col min="13830" max="13830" width="14.85546875" style="192" bestFit="1" customWidth="1"/>
    <col min="13831" max="13831" width="14.28515625" style="192" customWidth="1"/>
    <col min="13832" max="13835" width="11.5703125" style="192" bestFit="1" customWidth="1"/>
    <col min="13836" max="13836" width="16.5703125" style="192" bestFit="1" customWidth="1"/>
    <col min="13837" max="13837" width="11.42578125" style="192"/>
    <col min="13838" max="13838" width="13.85546875" style="192" bestFit="1" customWidth="1"/>
    <col min="13839" max="14080" width="11.42578125" style="192"/>
    <col min="14081" max="14081" width="39.42578125" style="192" customWidth="1"/>
    <col min="14082" max="14082" width="13.85546875" style="192" bestFit="1" customWidth="1"/>
    <col min="14083" max="14083" width="11.7109375" style="192" bestFit="1" customWidth="1"/>
    <col min="14084" max="14084" width="16.85546875" style="192" customWidth="1"/>
    <col min="14085" max="14085" width="18.140625" style="192" bestFit="1" customWidth="1"/>
    <col min="14086" max="14086" width="14.85546875" style="192" bestFit="1" customWidth="1"/>
    <col min="14087" max="14087" width="14.28515625" style="192" customWidth="1"/>
    <col min="14088" max="14091" width="11.5703125" style="192" bestFit="1" customWidth="1"/>
    <col min="14092" max="14092" width="16.5703125" style="192" bestFit="1" customWidth="1"/>
    <col min="14093" max="14093" width="11.42578125" style="192"/>
    <col min="14094" max="14094" width="13.85546875" style="192" bestFit="1" customWidth="1"/>
    <col min="14095" max="14336" width="11.42578125" style="192"/>
    <col min="14337" max="14337" width="39.42578125" style="192" customWidth="1"/>
    <col min="14338" max="14338" width="13.85546875" style="192" bestFit="1" customWidth="1"/>
    <col min="14339" max="14339" width="11.7109375" style="192" bestFit="1" customWidth="1"/>
    <col min="14340" max="14340" width="16.85546875" style="192" customWidth="1"/>
    <col min="14341" max="14341" width="18.140625" style="192" bestFit="1" customWidth="1"/>
    <col min="14342" max="14342" width="14.85546875" style="192" bestFit="1" customWidth="1"/>
    <col min="14343" max="14343" width="14.28515625" style="192" customWidth="1"/>
    <col min="14344" max="14347" width="11.5703125" style="192" bestFit="1" customWidth="1"/>
    <col min="14348" max="14348" width="16.5703125" style="192" bestFit="1" customWidth="1"/>
    <col min="14349" max="14349" width="11.42578125" style="192"/>
    <col min="14350" max="14350" width="13.85546875" style="192" bestFit="1" customWidth="1"/>
    <col min="14351" max="14592" width="11.42578125" style="192"/>
    <col min="14593" max="14593" width="39.42578125" style="192" customWidth="1"/>
    <col min="14594" max="14594" width="13.85546875" style="192" bestFit="1" customWidth="1"/>
    <col min="14595" max="14595" width="11.7109375" style="192" bestFit="1" customWidth="1"/>
    <col min="14596" max="14596" width="16.85546875" style="192" customWidth="1"/>
    <col min="14597" max="14597" width="18.140625" style="192" bestFit="1" customWidth="1"/>
    <col min="14598" max="14598" width="14.85546875" style="192" bestFit="1" customWidth="1"/>
    <col min="14599" max="14599" width="14.28515625" style="192" customWidth="1"/>
    <col min="14600" max="14603" width="11.5703125" style="192" bestFit="1" customWidth="1"/>
    <col min="14604" max="14604" width="16.5703125" style="192" bestFit="1" customWidth="1"/>
    <col min="14605" max="14605" width="11.42578125" style="192"/>
    <col min="14606" max="14606" width="13.85546875" style="192" bestFit="1" customWidth="1"/>
    <col min="14607" max="14848" width="11.42578125" style="192"/>
    <col min="14849" max="14849" width="39.42578125" style="192" customWidth="1"/>
    <col min="14850" max="14850" width="13.85546875" style="192" bestFit="1" customWidth="1"/>
    <col min="14851" max="14851" width="11.7109375" style="192" bestFit="1" customWidth="1"/>
    <col min="14852" max="14852" width="16.85546875" style="192" customWidth="1"/>
    <col min="14853" max="14853" width="18.140625" style="192" bestFit="1" customWidth="1"/>
    <col min="14854" max="14854" width="14.85546875" style="192" bestFit="1" customWidth="1"/>
    <col min="14855" max="14855" width="14.28515625" style="192" customWidth="1"/>
    <col min="14856" max="14859" width="11.5703125" style="192" bestFit="1" customWidth="1"/>
    <col min="14860" max="14860" width="16.5703125" style="192" bestFit="1" customWidth="1"/>
    <col min="14861" max="14861" width="11.42578125" style="192"/>
    <col min="14862" max="14862" width="13.85546875" style="192" bestFit="1" customWidth="1"/>
    <col min="14863" max="15104" width="11.42578125" style="192"/>
    <col min="15105" max="15105" width="39.42578125" style="192" customWidth="1"/>
    <col min="15106" max="15106" width="13.85546875" style="192" bestFit="1" customWidth="1"/>
    <col min="15107" max="15107" width="11.7109375" style="192" bestFit="1" customWidth="1"/>
    <col min="15108" max="15108" width="16.85546875" style="192" customWidth="1"/>
    <col min="15109" max="15109" width="18.140625" style="192" bestFit="1" customWidth="1"/>
    <col min="15110" max="15110" width="14.85546875" style="192" bestFit="1" customWidth="1"/>
    <col min="15111" max="15111" width="14.28515625" style="192" customWidth="1"/>
    <col min="15112" max="15115" width="11.5703125" style="192" bestFit="1" customWidth="1"/>
    <col min="15116" max="15116" width="16.5703125" style="192" bestFit="1" customWidth="1"/>
    <col min="15117" max="15117" width="11.42578125" style="192"/>
    <col min="15118" max="15118" width="13.85546875" style="192" bestFit="1" customWidth="1"/>
    <col min="15119" max="15360" width="11.42578125" style="192"/>
    <col min="15361" max="15361" width="39.42578125" style="192" customWidth="1"/>
    <col min="15362" max="15362" width="13.85546875" style="192" bestFit="1" customWidth="1"/>
    <col min="15363" max="15363" width="11.7109375" style="192" bestFit="1" customWidth="1"/>
    <col min="15364" max="15364" width="16.85546875" style="192" customWidth="1"/>
    <col min="15365" max="15365" width="18.140625" style="192" bestFit="1" customWidth="1"/>
    <col min="15366" max="15366" width="14.85546875" style="192" bestFit="1" customWidth="1"/>
    <col min="15367" max="15367" width="14.28515625" style="192" customWidth="1"/>
    <col min="15368" max="15371" width="11.5703125" style="192" bestFit="1" customWidth="1"/>
    <col min="15372" max="15372" width="16.5703125" style="192" bestFit="1" customWidth="1"/>
    <col min="15373" max="15373" width="11.42578125" style="192"/>
    <col min="15374" max="15374" width="13.85546875" style="192" bestFit="1" customWidth="1"/>
    <col min="15375" max="15616" width="11.42578125" style="192"/>
    <col min="15617" max="15617" width="39.42578125" style="192" customWidth="1"/>
    <col min="15618" max="15618" width="13.85546875" style="192" bestFit="1" customWidth="1"/>
    <col min="15619" max="15619" width="11.7109375" style="192" bestFit="1" customWidth="1"/>
    <col min="15620" max="15620" width="16.85546875" style="192" customWidth="1"/>
    <col min="15621" max="15621" width="18.140625" style="192" bestFit="1" customWidth="1"/>
    <col min="15622" max="15622" width="14.85546875" style="192" bestFit="1" customWidth="1"/>
    <col min="15623" max="15623" width="14.28515625" style="192" customWidth="1"/>
    <col min="15624" max="15627" width="11.5703125" style="192" bestFit="1" customWidth="1"/>
    <col min="15628" max="15628" width="16.5703125" style="192" bestFit="1" customWidth="1"/>
    <col min="15629" max="15629" width="11.42578125" style="192"/>
    <col min="15630" max="15630" width="13.85546875" style="192" bestFit="1" customWidth="1"/>
    <col min="15631" max="15872" width="11.42578125" style="192"/>
    <col min="15873" max="15873" width="39.42578125" style="192" customWidth="1"/>
    <col min="15874" max="15874" width="13.85546875" style="192" bestFit="1" customWidth="1"/>
    <col min="15875" max="15875" width="11.7109375" style="192" bestFit="1" customWidth="1"/>
    <col min="15876" max="15876" width="16.85546875" style="192" customWidth="1"/>
    <col min="15877" max="15877" width="18.140625" style="192" bestFit="1" customWidth="1"/>
    <col min="15878" max="15878" width="14.85546875" style="192" bestFit="1" customWidth="1"/>
    <col min="15879" max="15879" width="14.28515625" style="192" customWidth="1"/>
    <col min="15880" max="15883" width="11.5703125" style="192" bestFit="1" customWidth="1"/>
    <col min="15884" max="15884" width="16.5703125" style="192" bestFit="1" customWidth="1"/>
    <col min="15885" max="15885" width="11.42578125" style="192"/>
    <col min="15886" max="15886" width="13.85546875" style="192" bestFit="1" customWidth="1"/>
    <col min="15887" max="16128" width="11.42578125" style="192"/>
    <col min="16129" max="16129" width="39.42578125" style="192" customWidth="1"/>
    <col min="16130" max="16130" width="13.85546875" style="192" bestFit="1" customWidth="1"/>
    <col min="16131" max="16131" width="11.7109375" style="192" bestFit="1" customWidth="1"/>
    <col min="16132" max="16132" width="16.85546875" style="192" customWidth="1"/>
    <col min="16133" max="16133" width="18.140625" style="192" bestFit="1" customWidth="1"/>
    <col min="16134" max="16134" width="14.85546875" style="192" bestFit="1" customWidth="1"/>
    <col min="16135" max="16135" width="14.28515625" style="192" customWidth="1"/>
    <col min="16136" max="16139" width="11.5703125" style="192" bestFit="1" customWidth="1"/>
    <col min="16140" max="16140" width="16.5703125" style="192" bestFit="1" customWidth="1"/>
    <col min="16141" max="16141" width="11.42578125" style="192"/>
    <col min="16142" max="16142" width="13.85546875" style="192" bestFit="1" customWidth="1"/>
    <col min="16143" max="16384" width="11.42578125" style="192"/>
  </cols>
  <sheetData>
    <row r="1" spans="1:12">
      <c r="A1" s="335"/>
      <c r="B1" s="336" t="s">
        <v>356</v>
      </c>
      <c r="C1" s="337"/>
      <c r="D1" s="337"/>
      <c r="E1" s="337"/>
      <c r="F1" s="337"/>
      <c r="G1" s="337"/>
      <c r="H1" s="337"/>
      <c r="I1" s="337"/>
      <c r="J1" s="338"/>
      <c r="K1" s="329" t="s">
        <v>357</v>
      </c>
      <c r="L1" s="330"/>
    </row>
    <row r="2" spans="1:12">
      <c r="A2" s="335"/>
      <c r="B2" s="339"/>
      <c r="C2" s="340"/>
      <c r="D2" s="340"/>
      <c r="E2" s="340"/>
      <c r="F2" s="340"/>
      <c r="G2" s="340"/>
      <c r="H2" s="340"/>
      <c r="I2" s="340"/>
      <c r="J2" s="341"/>
      <c r="K2" s="331" t="s">
        <v>358</v>
      </c>
      <c r="L2" s="332"/>
    </row>
    <row r="3" spans="1:12" ht="13.5" thickBot="1">
      <c r="A3" s="335"/>
      <c r="B3" s="342"/>
      <c r="C3" s="343"/>
      <c r="D3" s="343"/>
      <c r="E3" s="343"/>
      <c r="F3" s="343"/>
      <c r="G3" s="343"/>
      <c r="H3" s="343"/>
      <c r="I3" s="343"/>
      <c r="J3" s="344"/>
      <c r="K3" s="333" t="s">
        <v>359</v>
      </c>
      <c r="L3" s="334"/>
    </row>
    <row r="4" spans="1:12" s="354" customFormat="1" ht="18" customHeight="1">
      <c r="A4" s="353" t="s">
        <v>274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</row>
    <row r="5" spans="1:12" s="207" customFormat="1" ht="21.75" customHeight="1">
      <c r="A5" s="304" t="s">
        <v>44</v>
      </c>
      <c r="B5" s="304" t="s">
        <v>2</v>
      </c>
      <c r="C5" s="305" t="s">
        <v>3</v>
      </c>
      <c r="D5" s="305" t="s">
        <v>4</v>
      </c>
      <c r="E5" s="305" t="s">
        <v>5</v>
      </c>
      <c r="F5" s="305" t="s">
        <v>6</v>
      </c>
      <c r="G5" s="305"/>
      <c r="H5" s="305"/>
      <c r="I5" s="305"/>
      <c r="J5" s="305"/>
      <c r="K5" s="305"/>
      <c r="L5" s="305"/>
    </row>
    <row r="6" spans="1:12" ht="25.5">
      <c r="A6" s="304"/>
      <c r="B6" s="304"/>
      <c r="C6" s="305"/>
      <c r="D6" s="305"/>
      <c r="E6" s="305"/>
      <c r="F6" s="88" t="s">
        <v>7</v>
      </c>
      <c r="G6" s="88" t="s">
        <v>8</v>
      </c>
      <c r="H6" s="88" t="s">
        <v>9</v>
      </c>
      <c r="I6" s="88" t="s">
        <v>10</v>
      </c>
      <c r="J6" s="88" t="s">
        <v>11</v>
      </c>
      <c r="K6" s="88" t="s">
        <v>12</v>
      </c>
      <c r="L6" s="88" t="s">
        <v>13</v>
      </c>
    </row>
    <row r="7" spans="1:12" ht="38.25">
      <c r="A7" s="184" t="s">
        <v>275</v>
      </c>
      <c r="B7" s="177" t="s">
        <v>276</v>
      </c>
      <c r="C7" s="185">
        <v>1</v>
      </c>
      <c r="D7" s="193"/>
      <c r="E7" s="193"/>
      <c r="F7" s="194"/>
      <c r="G7" s="194"/>
      <c r="H7" s="194"/>
      <c r="I7" s="194"/>
      <c r="J7" s="194"/>
      <c r="K7" s="194"/>
      <c r="L7" s="194"/>
    </row>
    <row r="8" spans="1:12" ht="38.25">
      <c r="A8" s="52" t="s">
        <v>277</v>
      </c>
      <c r="B8" s="171"/>
      <c r="C8" s="170"/>
      <c r="D8" s="193"/>
      <c r="E8" s="43">
        <f>SUM(F8:L8)</f>
        <v>500000000</v>
      </c>
      <c r="F8" s="194"/>
      <c r="G8" s="34">
        <v>500000000</v>
      </c>
      <c r="H8" s="194"/>
      <c r="I8" s="194"/>
      <c r="J8" s="194"/>
      <c r="K8" s="194"/>
      <c r="L8" s="194"/>
    </row>
    <row r="9" spans="1:12" ht="25.5">
      <c r="A9" s="65" t="s">
        <v>278</v>
      </c>
      <c r="B9" s="180" t="s">
        <v>226</v>
      </c>
      <c r="C9" s="185">
        <v>1</v>
      </c>
      <c r="D9" s="195"/>
      <c r="E9" s="193"/>
      <c r="F9" s="195"/>
      <c r="G9" s="195"/>
      <c r="H9" s="195"/>
      <c r="I9" s="195"/>
      <c r="J9" s="195"/>
      <c r="K9" s="195"/>
      <c r="L9" s="195"/>
    </row>
    <row r="10" spans="1:12" ht="25.5">
      <c r="A10" s="36" t="s">
        <v>278</v>
      </c>
      <c r="B10" s="183" t="s">
        <v>226</v>
      </c>
      <c r="C10" s="170">
        <v>1</v>
      </c>
      <c r="D10" s="195"/>
      <c r="E10" s="43">
        <v>200000000</v>
      </c>
      <c r="F10" s="195">
        <f>+E10</f>
        <v>200000000</v>
      </c>
      <c r="G10" s="195"/>
      <c r="H10" s="195"/>
      <c r="I10" s="195"/>
      <c r="J10" s="195"/>
      <c r="K10" s="195"/>
      <c r="L10" s="195"/>
    </row>
    <row r="11" spans="1:12" ht="25.5">
      <c r="A11" s="184" t="s">
        <v>279</v>
      </c>
      <c r="B11" s="177" t="s">
        <v>15</v>
      </c>
      <c r="C11" s="185">
        <v>20</v>
      </c>
      <c r="D11" s="193"/>
      <c r="E11" s="43"/>
      <c r="F11" s="175"/>
      <c r="G11" s="43"/>
      <c r="H11" s="43"/>
      <c r="I11" s="43"/>
      <c r="J11" s="43"/>
      <c r="K11" s="43"/>
      <c r="L11" s="43"/>
    </row>
    <row r="12" spans="1:12" ht="25.5">
      <c r="A12" s="52" t="s">
        <v>280</v>
      </c>
      <c r="B12" s="171" t="s">
        <v>24</v>
      </c>
      <c r="C12" s="170">
        <v>1</v>
      </c>
      <c r="D12" s="193"/>
      <c r="E12" s="43">
        <v>100000000</v>
      </c>
      <c r="F12" s="175">
        <f t="shared" ref="F12:F18" si="0">+E12</f>
        <v>100000000</v>
      </c>
      <c r="G12" s="43"/>
      <c r="H12" s="43"/>
      <c r="I12" s="43"/>
      <c r="J12" s="43"/>
      <c r="K12" s="43"/>
      <c r="L12" s="43"/>
    </row>
    <row r="13" spans="1:12" ht="63.75">
      <c r="A13" s="65" t="s">
        <v>281</v>
      </c>
      <c r="B13" s="177" t="s">
        <v>282</v>
      </c>
      <c r="C13" s="177">
        <v>38</v>
      </c>
      <c r="D13" s="18"/>
      <c r="E13" s="43"/>
      <c r="F13" s="195"/>
      <c r="G13" s="195"/>
      <c r="H13" s="195"/>
      <c r="I13" s="195"/>
      <c r="J13" s="195"/>
      <c r="K13" s="195"/>
      <c r="L13" s="195"/>
    </row>
    <row r="14" spans="1:12" ht="38.25">
      <c r="A14" s="196" t="s">
        <v>283</v>
      </c>
      <c r="B14" s="171" t="s">
        <v>84</v>
      </c>
      <c r="C14" s="171">
        <v>8</v>
      </c>
      <c r="D14" s="197">
        <v>5759336.5640000002</v>
      </c>
      <c r="E14" s="43">
        <f>+D14*C14</f>
        <v>46074692.512000002</v>
      </c>
      <c r="F14" s="195">
        <f t="shared" si="0"/>
        <v>46074692.512000002</v>
      </c>
      <c r="G14" s="195"/>
      <c r="H14" s="195"/>
      <c r="I14" s="195"/>
      <c r="J14" s="195"/>
      <c r="K14" s="195"/>
      <c r="L14" s="195"/>
    </row>
    <row r="15" spans="1:12" ht="25.5">
      <c r="A15" s="196" t="s">
        <v>284</v>
      </c>
      <c r="B15" s="171" t="s">
        <v>84</v>
      </c>
      <c r="C15" s="171">
        <v>3</v>
      </c>
      <c r="D15" s="197">
        <v>3164051.5003125002</v>
      </c>
      <c r="E15" s="43">
        <f>+D15*C15</f>
        <v>9492154.500937501</v>
      </c>
      <c r="F15" s="195">
        <f t="shared" si="0"/>
        <v>9492154.500937501</v>
      </c>
      <c r="G15" s="195"/>
      <c r="H15" s="195"/>
      <c r="I15" s="195"/>
      <c r="J15" s="195"/>
      <c r="K15" s="195"/>
      <c r="L15" s="195"/>
    </row>
    <row r="16" spans="1:12" ht="24">
      <c r="A16" s="198" t="s">
        <v>285</v>
      </c>
      <c r="B16" s="171" t="s">
        <v>84</v>
      </c>
      <c r="C16" s="171">
        <v>9</v>
      </c>
      <c r="D16" s="197">
        <v>2220750</v>
      </c>
      <c r="E16" s="43">
        <f>+D16*C16</f>
        <v>19986750</v>
      </c>
      <c r="F16" s="195">
        <f t="shared" si="0"/>
        <v>19986750</v>
      </c>
      <c r="G16" s="195"/>
      <c r="H16" s="195"/>
      <c r="I16" s="195"/>
      <c r="J16" s="195"/>
      <c r="K16" s="195"/>
      <c r="L16" s="195"/>
    </row>
    <row r="17" spans="1:12" ht="24">
      <c r="A17" s="198" t="s">
        <v>286</v>
      </c>
      <c r="B17" s="199" t="s">
        <v>24</v>
      </c>
      <c r="C17" s="200">
        <v>1</v>
      </c>
      <c r="D17" s="197">
        <v>99346403</v>
      </c>
      <c r="E17" s="197">
        <f>+D17*C17</f>
        <v>99346403</v>
      </c>
      <c r="F17" s="195">
        <f>+E17</f>
        <v>99346403</v>
      </c>
      <c r="G17" s="195"/>
      <c r="H17" s="195"/>
      <c r="I17" s="195"/>
      <c r="J17" s="195"/>
      <c r="K17" s="195"/>
      <c r="L17" s="195"/>
    </row>
    <row r="18" spans="1:12" ht="51">
      <c r="A18" s="196" t="s">
        <v>287</v>
      </c>
      <c r="B18" s="171" t="s">
        <v>24</v>
      </c>
      <c r="C18" s="170">
        <v>1</v>
      </c>
      <c r="D18" s="197">
        <f>25000000*1.004</f>
        <v>25100000</v>
      </c>
      <c r="E18" s="43">
        <f>+C18*D18</f>
        <v>25100000</v>
      </c>
      <c r="F18" s="195">
        <f t="shared" si="0"/>
        <v>25100000</v>
      </c>
      <c r="G18" s="195"/>
      <c r="H18" s="195"/>
      <c r="I18" s="195"/>
      <c r="J18" s="195"/>
      <c r="K18" s="195"/>
      <c r="L18" s="195"/>
    </row>
    <row r="19" spans="1:12" ht="14.25">
      <c r="A19" s="65"/>
      <c r="B19" s="177"/>
      <c r="C19" s="177"/>
      <c r="D19" s="18"/>
      <c r="E19" s="43"/>
      <c r="F19" s="195"/>
      <c r="G19" s="195"/>
      <c r="H19" s="195"/>
      <c r="I19" s="195"/>
      <c r="J19" s="195"/>
      <c r="K19" s="195"/>
      <c r="L19" s="195"/>
    </row>
    <row r="20" spans="1:12" ht="14.25">
      <c r="A20" s="65"/>
      <c r="B20" s="177"/>
      <c r="C20" s="177"/>
      <c r="D20" s="18"/>
      <c r="E20" s="193"/>
      <c r="F20" s="195"/>
      <c r="G20" s="195"/>
      <c r="H20" s="195"/>
      <c r="I20" s="195"/>
      <c r="J20" s="195"/>
      <c r="K20" s="195"/>
      <c r="L20" s="195"/>
    </row>
    <row r="21" spans="1:12">
      <c r="A21" s="279" t="s">
        <v>37</v>
      </c>
      <c r="B21" s="279"/>
      <c r="C21" s="279"/>
      <c r="D21" s="279"/>
      <c r="E21" s="201">
        <f>SUM(E7:E18)</f>
        <v>1000000000.0129374</v>
      </c>
      <c r="F21" s="201">
        <f>SUM(F7:F18)</f>
        <v>500000000.01293755</v>
      </c>
      <c r="G21" s="201">
        <f>SUM(G7:G13)</f>
        <v>500000000</v>
      </c>
      <c r="H21" s="201">
        <f>SUM(H9:H11)</f>
        <v>0</v>
      </c>
      <c r="I21" s="201">
        <f>SUM(I9:I11)</f>
        <v>0</v>
      </c>
      <c r="J21" s="201">
        <f>SUM(J9:J11)</f>
        <v>0</v>
      </c>
      <c r="K21" s="201">
        <f>SUM(K9:K11)</f>
        <v>0</v>
      </c>
      <c r="L21" s="201">
        <f>SUM(L9:L11)</f>
        <v>0</v>
      </c>
    </row>
    <row r="22" spans="1:12">
      <c r="A22" s="280" t="s">
        <v>38</v>
      </c>
      <c r="B22" s="280"/>
      <c r="C22" s="280"/>
      <c r="D22" s="280"/>
      <c r="E22" s="201">
        <f>+'FUENTES Y USOS'!S17</f>
        <v>1000000000</v>
      </c>
      <c r="F22" s="201">
        <f>+'FUENTES Y USOS'!M17</f>
        <v>500000000</v>
      </c>
      <c r="G22" s="201">
        <f>+'FUENTES Y USOS'!N17</f>
        <v>500000000</v>
      </c>
      <c r="H22" s="201">
        <f>+'[5]FUENTES Y USOS'!O17</f>
        <v>0</v>
      </c>
      <c r="I22" s="201">
        <f>+'[5]FUENTES Y USOS'!P17</f>
        <v>0</v>
      </c>
      <c r="J22" s="201">
        <f>+'[5]FUENTES Y USOS'!Q17</f>
        <v>0</v>
      </c>
      <c r="K22" s="201">
        <f>+'[5]FUENTES Y USOS'!R17</f>
        <v>0</v>
      </c>
      <c r="L22" s="201"/>
    </row>
    <row r="23" spans="1:12">
      <c r="A23" s="279" t="s">
        <v>39</v>
      </c>
      <c r="B23" s="279"/>
      <c r="C23" s="279"/>
      <c r="D23" s="279"/>
      <c r="E23" s="202">
        <f>+E22-E21</f>
        <v>-1.2937426567077637E-2</v>
      </c>
      <c r="F23" s="202">
        <f t="shared" ref="F23:L23" si="1">+F22-F21</f>
        <v>-1.2937545776367188E-2</v>
      </c>
      <c r="G23" s="202">
        <f t="shared" si="1"/>
        <v>0</v>
      </c>
      <c r="H23" s="202">
        <f t="shared" si="1"/>
        <v>0</v>
      </c>
      <c r="I23" s="202">
        <f t="shared" si="1"/>
        <v>0</v>
      </c>
      <c r="J23" s="202">
        <f t="shared" si="1"/>
        <v>0</v>
      </c>
      <c r="K23" s="202">
        <f t="shared" si="1"/>
        <v>0</v>
      </c>
      <c r="L23" s="202">
        <f t="shared" si="1"/>
        <v>0</v>
      </c>
    </row>
    <row r="26" spans="1:12">
      <c r="A26" s="85"/>
      <c r="B26" s="292" t="s">
        <v>40</v>
      </c>
      <c r="C26" s="292"/>
      <c r="D26" s="292"/>
      <c r="E26" s="292"/>
    </row>
    <row r="27" spans="1:12">
      <c r="A27" s="86"/>
      <c r="B27" s="292" t="s">
        <v>42</v>
      </c>
      <c r="C27" s="292"/>
      <c r="D27" s="292"/>
      <c r="E27" s="292"/>
    </row>
  </sheetData>
  <mergeCells count="16">
    <mergeCell ref="B26:E26"/>
    <mergeCell ref="B27:E27"/>
    <mergeCell ref="B1:J3"/>
    <mergeCell ref="K1:L1"/>
    <mergeCell ref="K2:L2"/>
    <mergeCell ref="K3:L3"/>
    <mergeCell ref="A21:D21"/>
    <mergeCell ref="A22:D22"/>
    <mergeCell ref="A23:D23"/>
    <mergeCell ref="A4:L4"/>
    <mergeCell ref="A5:A6"/>
    <mergeCell ref="B5:B6"/>
    <mergeCell ref="C5:C6"/>
    <mergeCell ref="D5:D6"/>
    <mergeCell ref="E5:E6"/>
    <mergeCell ref="F5:L5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C1" workbookViewId="0">
      <pane ySplit="6" topLeftCell="A7" activePane="bottomLeft" state="frozen"/>
      <selection pane="bottomLeft" sqref="A1:L3"/>
    </sheetView>
  </sheetViews>
  <sheetFormatPr baseColWidth="10" defaultRowHeight="12.75"/>
  <cols>
    <col min="1" max="1" width="28.28515625" style="1" customWidth="1"/>
    <col min="2" max="2" width="13.85546875" style="167" bestFit="1" customWidth="1"/>
    <col min="3" max="3" width="11.42578125" style="167"/>
    <col min="4" max="4" width="14.7109375" style="1" customWidth="1"/>
    <col min="5" max="5" width="18.140625" style="1" customWidth="1"/>
    <col min="6" max="6" width="13.140625" style="1" customWidth="1"/>
    <col min="7" max="11" width="18.5703125" style="1" customWidth="1"/>
    <col min="12" max="12" width="31" style="1" customWidth="1"/>
    <col min="13" max="258" width="11.42578125" style="1"/>
    <col min="259" max="259" width="28.28515625" style="1" customWidth="1"/>
    <col min="260" max="260" width="13.85546875" style="1" bestFit="1" customWidth="1"/>
    <col min="261" max="261" width="11.42578125" style="1"/>
    <col min="262" max="262" width="14.7109375" style="1" customWidth="1"/>
    <col min="263" max="263" width="18.140625" style="1" customWidth="1"/>
    <col min="264" max="264" width="13.140625" style="1" customWidth="1"/>
    <col min="265" max="267" width="18.5703125" style="1" customWidth="1"/>
    <col min="268" max="268" width="31" style="1" customWidth="1"/>
    <col min="269" max="514" width="11.42578125" style="1"/>
    <col min="515" max="515" width="28.28515625" style="1" customWidth="1"/>
    <col min="516" max="516" width="13.85546875" style="1" bestFit="1" customWidth="1"/>
    <col min="517" max="517" width="11.42578125" style="1"/>
    <col min="518" max="518" width="14.7109375" style="1" customWidth="1"/>
    <col min="519" max="519" width="18.140625" style="1" customWidth="1"/>
    <col min="520" max="520" width="13.140625" style="1" customWidth="1"/>
    <col min="521" max="523" width="18.5703125" style="1" customWidth="1"/>
    <col min="524" max="524" width="31" style="1" customWidth="1"/>
    <col min="525" max="770" width="11.42578125" style="1"/>
    <col min="771" max="771" width="28.28515625" style="1" customWidth="1"/>
    <col min="772" max="772" width="13.85546875" style="1" bestFit="1" customWidth="1"/>
    <col min="773" max="773" width="11.42578125" style="1"/>
    <col min="774" max="774" width="14.7109375" style="1" customWidth="1"/>
    <col min="775" max="775" width="18.140625" style="1" customWidth="1"/>
    <col min="776" max="776" width="13.140625" style="1" customWidth="1"/>
    <col min="777" max="779" width="18.5703125" style="1" customWidth="1"/>
    <col min="780" max="780" width="31" style="1" customWidth="1"/>
    <col min="781" max="1026" width="11.42578125" style="1"/>
    <col min="1027" max="1027" width="28.28515625" style="1" customWidth="1"/>
    <col min="1028" max="1028" width="13.85546875" style="1" bestFit="1" customWidth="1"/>
    <col min="1029" max="1029" width="11.42578125" style="1"/>
    <col min="1030" max="1030" width="14.7109375" style="1" customWidth="1"/>
    <col min="1031" max="1031" width="18.140625" style="1" customWidth="1"/>
    <col min="1032" max="1032" width="13.140625" style="1" customWidth="1"/>
    <col min="1033" max="1035" width="18.5703125" style="1" customWidth="1"/>
    <col min="1036" max="1036" width="31" style="1" customWidth="1"/>
    <col min="1037" max="1282" width="11.42578125" style="1"/>
    <col min="1283" max="1283" width="28.28515625" style="1" customWidth="1"/>
    <col min="1284" max="1284" width="13.85546875" style="1" bestFit="1" customWidth="1"/>
    <col min="1285" max="1285" width="11.42578125" style="1"/>
    <col min="1286" max="1286" width="14.7109375" style="1" customWidth="1"/>
    <col min="1287" max="1287" width="18.140625" style="1" customWidth="1"/>
    <col min="1288" max="1288" width="13.140625" style="1" customWidth="1"/>
    <col min="1289" max="1291" width="18.5703125" style="1" customWidth="1"/>
    <col min="1292" max="1292" width="31" style="1" customWidth="1"/>
    <col min="1293" max="1538" width="11.42578125" style="1"/>
    <col min="1539" max="1539" width="28.28515625" style="1" customWidth="1"/>
    <col min="1540" max="1540" width="13.85546875" style="1" bestFit="1" customWidth="1"/>
    <col min="1541" max="1541" width="11.42578125" style="1"/>
    <col min="1542" max="1542" width="14.7109375" style="1" customWidth="1"/>
    <col min="1543" max="1543" width="18.140625" style="1" customWidth="1"/>
    <col min="1544" max="1544" width="13.140625" style="1" customWidth="1"/>
    <col min="1545" max="1547" width="18.5703125" style="1" customWidth="1"/>
    <col min="1548" max="1548" width="31" style="1" customWidth="1"/>
    <col min="1549" max="1794" width="11.42578125" style="1"/>
    <col min="1795" max="1795" width="28.28515625" style="1" customWidth="1"/>
    <col min="1796" max="1796" width="13.85546875" style="1" bestFit="1" customWidth="1"/>
    <col min="1797" max="1797" width="11.42578125" style="1"/>
    <col min="1798" max="1798" width="14.7109375" style="1" customWidth="1"/>
    <col min="1799" max="1799" width="18.140625" style="1" customWidth="1"/>
    <col min="1800" max="1800" width="13.140625" style="1" customWidth="1"/>
    <col min="1801" max="1803" width="18.5703125" style="1" customWidth="1"/>
    <col min="1804" max="1804" width="31" style="1" customWidth="1"/>
    <col min="1805" max="2050" width="11.42578125" style="1"/>
    <col min="2051" max="2051" width="28.28515625" style="1" customWidth="1"/>
    <col min="2052" max="2052" width="13.85546875" style="1" bestFit="1" customWidth="1"/>
    <col min="2053" max="2053" width="11.42578125" style="1"/>
    <col min="2054" max="2054" width="14.7109375" style="1" customWidth="1"/>
    <col min="2055" max="2055" width="18.140625" style="1" customWidth="1"/>
    <col min="2056" max="2056" width="13.140625" style="1" customWidth="1"/>
    <col min="2057" max="2059" width="18.5703125" style="1" customWidth="1"/>
    <col min="2060" max="2060" width="31" style="1" customWidth="1"/>
    <col min="2061" max="2306" width="11.42578125" style="1"/>
    <col min="2307" max="2307" width="28.28515625" style="1" customWidth="1"/>
    <col min="2308" max="2308" width="13.85546875" style="1" bestFit="1" customWidth="1"/>
    <col min="2309" max="2309" width="11.42578125" style="1"/>
    <col min="2310" max="2310" width="14.7109375" style="1" customWidth="1"/>
    <col min="2311" max="2311" width="18.140625" style="1" customWidth="1"/>
    <col min="2312" max="2312" width="13.140625" style="1" customWidth="1"/>
    <col min="2313" max="2315" width="18.5703125" style="1" customWidth="1"/>
    <col min="2316" max="2316" width="31" style="1" customWidth="1"/>
    <col min="2317" max="2562" width="11.42578125" style="1"/>
    <col min="2563" max="2563" width="28.28515625" style="1" customWidth="1"/>
    <col min="2564" max="2564" width="13.85546875" style="1" bestFit="1" customWidth="1"/>
    <col min="2565" max="2565" width="11.42578125" style="1"/>
    <col min="2566" max="2566" width="14.7109375" style="1" customWidth="1"/>
    <col min="2567" max="2567" width="18.140625" style="1" customWidth="1"/>
    <col min="2568" max="2568" width="13.140625" style="1" customWidth="1"/>
    <col min="2569" max="2571" width="18.5703125" style="1" customWidth="1"/>
    <col min="2572" max="2572" width="31" style="1" customWidth="1"/>
    <col min="2573" max="2818" width="11.42578125" style="1"/>
    <col min="2819" max="2819" width="28.28515625" style="1" customWidth="1"/>
    <col min="2820" max="2820" width="13.85546875" style="1" bestFit="1" customWidth="1"/>
    <col min="2821" max="2821" width="11.42578125" style="1"/>
    <col min="2822" max="2822" width="14.7109375" style="1" customWidth="1"/>
    <col min="2823" max="2823" width="18.140625" style="1" customWidth="1"/>
    <col min="2824" max="2824" width="13.140625" style="1" customWidth="1"/>
    <col min="2825" max="2827" width="18.5703125" style="1" customWidth="1"/>
    <col min="2828" max="2828" width="31" style="1" customWidth="1"/>
    <col min="2829" max="3074" width="11.42578125" style="1"/>
    <col min="3075" max="3075" width="28.28515625" style="1" customWidth="1"/>
    <col min="3076" max="3076" width="13.85546875" style="1" bestFit="1" customWidth="1"/>
    <col min="3077" max="3077" width="11.42578125" style="1"/>
    <col min="3078" max="3078" width="14.7109375" style="1" customWidth="1"/>
    <col min="3079" max="3079" width="18.140625" style="1" customWidth="1"/>
    <col min="3080" max="3080" width="13.140625" style="1" customWidth="1"/>
    <col min="3081" max="3083" width="18.5703125" style="1" customWidth="1"/>
    <col min="3084" max="3084" width="31" style="1" customWidth="1"/>
    <col min="3085" max="3330" width="11.42578125" style="1"/>
    <col min="3331" max="3331" width="28.28515625" style="1" customWidth="1"/>
    <col min="3332" max="3332" width="13.85546875" style="1" bestFit="1" customWidth="1"/>
    <col min="3333" max="3333" width="11.42578125" style="1"/>
    <col min="3334" max="3334" width="14.7109375" style="1" customWidth="1"/>
    <col min="3335" max="3335" width="18.140625" style="1" customWidth="1"/>
    <col min="3336" max="3336" width="13.140625" style="1" customWidth="1"/>
    <col min="3337" max="3339" width="18.5703125" style="1" customWidth="1"/>
    <col min="3340" max="3340" width="31" style="1" customWidth="1"/>
    <col min="3341" max="3586" width="11.42578125" style="1"/>
    <col min="3587" max="3587" width="28.28515625" style="1" customWidth="1"/>
    <col min="3588" max="3588" width="13.85546875" style="1" bestFit="1" customWidth="1"/>
    <col min="3589" max="3589" width="11.42578125" style="1"/>
    <col min="3590" max="3590" width="14.7109375" style="1" customWidth="1"/>
    <col min="3591" max="3591" width="18.140625" style="1" customWidth="1"/>
    <col min="3592" max="3592" width="13.140625" style="1" customWidth="1"/>
    <col min="3593" max="3595" width="18.5703125" style="1" customWidth="1"/>
    <col min="3596" max="3596" width="31" style="1" customWidth="1"/>
    <col min="3597" max="3842" width="11.42578125" style="1"/>
    <col min="3843" max="3843" width="28.28515625" style="1" customWidth="1"/>
    <col min="3844" max="3844" width="13.85546875" style="1" bestFit="1" customWidth="1"/>
    <col min="3845" max="3845" width="11.42578125" style="1"/>
    <col min="3846" max="3846" width="14.7109375" style="1" customWidth="1"/>
    <col min="3847" max="3847" width="18.140625" style="1" customWidth="1"/>
    <col min="3848" max="3848" width="13.140625" style="1" customWidth="1"/>
    <col min="3849" max="3851" width="18.5703125" style="1" customWidth="1"/>
    <col min="3852" max="3852" width="31" style="1" customWidth="1"/>
    <col min="3853" max="4098" width="11.42578125" style="1"/>
    <col min="4099" max="4099" width="28.28515625" style="1" customWidth="1"/>
    <col min="4100" max="4100" width="13.85546875" style="1" bestFit="1" customWidth="1"/>
    <col min="4101" max="4101" width="11.42578125" style="1"/>
    <col min="4102" max="4102" width="14.7109375" style="1" customWidth="1"/>
    <col min="4103" max="4103" width="18.140625" style="1" customWidth="1"/>
    <col min="4104" max="4104" width="13.140625" style="1" customWidth="1"/>
    <col min="4105" max="4107" width="18.5703125" style="1" customWidth="1"/>
    <col min="4108" max="4108" width="31" style="1" customWidth="1"/>
    <col min="4109" max="4354" width="11.42578125" style="1"/>
    <col min="4355" max="4355" width="28.28515625" style="1" customWidth="1"/>
    <col min="4356" max="4356" width="13.85546875" style="1" bestFit="1" customWidth="1"/>
    <col min="4357" max="4357" width="11.42578125" style="1"/>
    <col min="4358" max="4358" width="14.7109375" style="1" customWidth="1"/>
    <col min="4359" max="4359" width="18.140625" style="1" customWidth="1"/>
    <col min="4360" max="4360" width="13.140625" style="1" customWidth="1"/>
    <col min="4361" max="4363" width="18.5703125" style="1" customWidth="1"/>
    <col min="4364" max="4364" width="31" style="1" customWidth="1"/>
    <col min="4365" max="4610" width="11.42578125" style="1"/>
    <col min="4611" max="4611" width="28.28515625" style="1" customWidth="1"/>
    <col min="4612" max="4612" width="13.85546875" style="1" bestFit="1" customWidth="1"/>
    <col min="4613" max="4613" width="11.42578125" style="1"/>
    <col min="4614" max="4614" width="14.7109375" style="1" customWidth="1"/>
    <col min="4615" max="4615" width="18.140625" style="1" customWidth="1"/>
    <col min="4616" max="4616" width="13.140625" style="1" customWidth="1"/>
    <col min="4617" max="4619" width="18.5703125" style="1" customWidth="1"/>
    <col min="4620" max="4620" width="31" style="1" customWidth="1"/>
    <col min="4621" max="4866" width="11.42578125" style="1"/>
    <col min="4867" max="4867" width="28.28515625" style="1" customWidth="1"/>
    <col min="4868" max="4868" width="13.85546875" style="1" bestFit="1" customWidth="1"/>
    <col min="4869" max="4869" width="11.42578125" style="1"/>
    <col min="4870" max="4870" width="14.7109375" style="1" customWidth="1"/>
    <col min="4871" max="4871" width="18.140625" style="1" customWidth="1"/>
    <col min="4872" max="4872" width="13.140625" style="1" customWidth="1"/>
    <col min="4873" max="4875" width="18.5703125" style="1" customWidth="1"/>
    <col min="4876" max="4876" width="31" style="1" customWidth="1"/>
    <col min="4877" max="5122" width="11.42578125" style="1"/>
    <col min="5123" max="5123" width="28.28515625" style="1" customWidth="1"/>
    <col min="5124" max="5124" width="13.85546875" style="1" bestFit="1" customWidth="1"/>
    <col min="5125" max="5125" width="11.42578125" style="1"/>
    <col min="5126" max="5126" width="14.7109375" style="1" customWidth="1"/>
    <col min="5127" max="5127" width="18.140625" style="1" customWidth="1"/>
    <col min="5128" max="5128" width="13.140625" style="1" customWidth="1"/>
    <col min="5129" max="5131" width="18.5703125" style="1" customWidth="1"/>
    <col min="5132" max="5132" width="31" style="1" customWidth="1"/>
    <col min="5133" max="5378" width="11.42578125" style="1"/>
    <col min="5379" max="5379" width="28.28515625" style="1" customWidth="1"/>
    <col min="5380" max="5380" width="13.85546875" style="1" bestFit="1" customWidth="1"/>
    <col min="5381" max="5381" width="11.42578125" style="1"/>
    <col min="5382" max="5382" width="14.7109375" style="1" customWidth="1"/>
    <col min="5383" max="5383" width="18.140625" style="1" customWidth="1"/>
    <col min="5384" max="5384" width="13.140625" style="1" customWidth="1"/>
    <col min="5385" max="5387" width="18.5703125" style="1" customWidth="1"/>
    <col min="5388" max="5388" width="31" style="1" customWidth="1"/>
    <col min="5389" max="5634" width="11.42578125" style="1"/>
    <col min="5635" max="5635" width="28.28515625" style="1" customWidth="1"/>
    <col min="5636" max="5636" width="13.85546875" style="1" bestFit="1" customWidth="1"/>
    <col min="5637" max="5637" width="11.42578125" style="1"/>
    <col min="5638" max="5638" width="14.7109375" style="1" customWidth="1"/>
    <col min="5639" max="5639" width="18.140625" style="1" customWidth="1"/>
    <col min="5640" max="5640" width="13.140625" style="1" customWidth="1"/>
    <col min="5641" max="5643" width="18.5703125" style="1" customWidth="1"/>
    <col min="5644" max="5644" width="31" style="1" customWidth="1"/>
    <col min="5645" max="5890" width="11.42578125" style="1"/>
    <col min="5891" max="5891" width="28.28515625" style="1" customWidth="1"/>
    <col min="5892" max="5892" width="13.85546875" style="1" bestFit="1" customWidth="1"/>
    <col min="5893" max="5893" width="11.42578125" style="1"/>
    <col min="5894" max="5894" width="14.7109375" style="1" customWidth="1"/>
    <col min="5895" max="5895" width="18.140625" style="1" customWidth="1"/>
    <col min="5896" max="5896" width="13.140625" style="1" customWidth="1"/>
    <col min="5897" max="5899" width="18.5703125" style="1" customWidth="1"/>
    <col min="5900" max="5900" width="31" style="1" customWidth="1"/>
    <col min="5901" max="6146" width="11.42578125" style="1"/>
    <col min="6147" max="6147" width="28.28515625" style="1" customWidth="1"/>
    <col min="6148" max="6148" width="13.85546875" style="1" bestFit="1" customWidth="1"/>
    <col min="6149" max="6149" width="11.42578125" style="1"/>
    <col min="6150" max="6150" width="14.7109375" style="1" customWidth="1"/>
    <col min="6151" max="6151" width="18.140625" style="1" customWidth="1"/>
    <col min="6152" max="6152" width="13.140625" style="1" customWidth="1"/>
    <col min="6153" max="6155" width="18.5703125" style="1" customWidth="1"/>
    <col min="6156" max="6156" width="31" style="1" customWidth="1"/>
    <col min="6157" max="6402" width="11.42578125" style="1"/>
    <col min="6403" max="6403" width="28.28515625" style="1" customWidth="1"/>
    <col min="6404" max="6404" width="13.85546875" style="1" bestFit="1" customWidth="1"/>
    <col min="6405" max="6405" width="11.42578125" style="1"/>
    <col min="6406" max="6406" width="14.7109375" style="1" customWidth="1"/>
    <col min="6407" max="6407" width="18.140625" style="1" customWidth="1"/>
    <col min="6408" max="6408" width="13.140625" style="1" customWidth="1"/>
    <col min="6409" max="6411" width="18.5703125" style="1" customWidth="1"/>
    <col min="6412" max="6412" width="31" style="1" customWidth="1"/>
    <col min="6413" max="6658" width="11.42578125" style="1"/>
    <col min="6659" max="6659" width="28.28515625" style="1" customWidth="1"/>
    <col min="6660" max="6660" width="13.85546875" style="1" bestFit="1" customWidth="1"/>
    <col min="6661" max="6661" width="11.42578125" style="1"/>
    <col min="6662" max="6662" width="14.7109375" style="1" customWidth="1"/>
    <col min="6663" max="6663" width="18.140625" style="1" customWidth="1"/>
    <col min="6664" max="6664" width="13.140625" style="1" customWidth="1"/>
    <col min="6665" max="6667" width="18.5703125" style="1" customWidth="1"/>
    <col min="6668" max="6668" width="31" style="1" customWidth="1"/>
    <col min="6669" max="6914" width="11.42578125" style="1"/>
    <col min="6915" max="6915" width="28.28515625" style="1" customWidth="1"/>
    <col min="6916" max="6916" width="13.85546875" style="1" bestFit="1" customWidth="1"/>
    <col min="6917" max="6917" width="11.42578125" style="1"/>
    <col min="6918" max="6918" width="14.7109375" style="1" customWidth="1"/>
    <col min="6919" max="6919" width="18.140625" style="1" customWidth="1"/>
    <col min="6920" max="6920" width="13.140625" style="1" customWidth="1"/>
    <col min="6921" max="6923" width="18.5703125" style="1" customWidth="1"/>
    <col min="6924" max="6924" width="31" style="1" customWidth="1"/>
    <col min="6925" max="7170" width="11.42578125" style="1"/>
    <col min="7171" max="7171" width="28.28515625" style="1" customWidth="1"/>
    <col min="7172" max="7172" width="13.85546875" style="1" bestFit="1" customWidth="1"/>
    <col min="7173" max="7173" width="11.42578125" style="1"/>
    <col min="7174" max="7174" width="14.7109375" style="1" customWidth="1"/>
    <col min="7175" max="7175" width="18.140625" style="1" customWidth="1"/>
    <col min="7176" max="7176" width="13.140625" style="1" customWidth="1"/>
    <col min="7177" max="7179" width="18.5703125" style="1" customWidth="1"/>
    <col min="7180" max="7180" width="31" style="1" customWidth="1"/>
    <col min="7181" max="7426" width="11.42578125" style="1"/>
    <col min="7427" max="7427" width="28.28515625" style="1" customWidth="1"/>
    <col min="7428" max="7428" width="13.85546875" style="1" bestFit="1" customWidth="1"/>
    <col min="7429" max="7429" width="11.42578125" style="1"/>
    <col min="7430" max="7430" width="14.7109375" style="1" customWidth="1"/>
    <col min="7431" max="7431" width="18.140625" style="1" customWidth="1"/>
    <col min="7432" max="7432" width="13.140625" style="1" customWidth="1"/>
    <col min="7433" max="7435" width="18.5703125" style="1" customWidth="1"/>
    <col min="7436" max="7436" width="31" style="1" customWidth="1"/>
    <col min="7437" max="7682" width="11.42578125" style="1"/>
    <col min="7683" max="7683" width="28.28515625" style="1" customWidth="1"/>
    <col min="7684" max="7684" width="13.85546875" style="1" bestFit="1" customWidth="1"/>
    <col min="7685" max="7685" width="11.42578125" style="1"/>
    <col min="7686" max="7686" width="14.7109375" style="1" customWidth="1"/>
    <col min="7687" max="7687" width="18.140625" style="1" customWidth="1"/>
    <col min="7688" max="7688" width="13.140625" style="1" customWidth="1"/>
    <col min="7689" max="7691" width="18.5703125" style="1" customWidth="1"/>
    <col min="7692" max="7692" width="31" style="1" customWidth="1"/>
    <col min="7693" max="7938" width="11.42578125" style="1"/>
    <col min="7939" max="7939" width="28.28515625" style="1" customWidth="1"/>
    <col min="7940" max="7940" width="13.85546875" style="1" bestFit="1" customWidth="1"/>
    <col min="7941" max="7941" width="11.42578125" style="1"/>
    <col min="7942" max="7942" width="14.7109375" style="1" customWidth="1"/>
    <col min="7943" max="7943" width="18.140625" style="1" customWidth="1"/>
    <col min="7944" max="7944" width="13.140625" style="1" customWidth="1"/>
    <col min="7945" max="7947" width="18.5703125" style="1" customWidth="1"/>
    <col min="7948" max="7948" width="31" style="1" customWidth="1"/>
    <col min="7949" max="8194" width="11.42578125" style="1"/>
    <col min="8195" max="8195" width="28.28515625" style="1" customWidth="1"/>
    <col min="8196" max="8196" width="13.85546875" style="1" bestFit="1" customWidth="1"/>
    <col min="8197" max="8197" width="11.42578125" style="1"/>
    <col min="8198" max="8198" width="14.7109375" style="1" customWidth="1"/>
    <col min="8199" max="8199" width="18.140625" style="1" customWidth="1"/>
    <col min="8200" max="8200" width="13.140625" style="1" customWidth="1"/>
    <col min="8201" max="8203" width="18.5703125" style="1" customWidth="1"/>
    <col min="8204" max="8204" width="31" style="1" customWidth="1"/>
    <col min="8205" max="8450" width="11.42578125" style="1"/>
    <col min="8451" max="8451" width="28.28515625" style="1" customWidth="1"/>
    <col min="8452" max="8452" width="13.85546875" style="1" bestFit="1" customWidth="1"/>
    <col min="8453" max="8453" width="11.42578125" style="1"/>
    <col min="8454" max="8454" width="14.7109375" style="1" customWidth="1"/>
    <col min="8455" max="8455" width="18.140625" style="1" customWidth="1"/>
    <col min="8456" max="8456" width="13.140625" style="1" customWidth="1"/>
    <col min="8457" max="8459" width="18.5703125" style="1" customWidth="1"/>
    <col min="8460" max="8460" width="31" style="1" customWidth="1"/>
    <col min="8461" max="8706" width="11.42578125" style="1"/>
    <col min="8707" max="8707" width="28.28515625" style="1" customWidth="1"/>
    <col min="8708" max="8708" width="13.85546875" style="1" bestFit="1" customWidth="1"/>
    <col min="8709" max="8709" width="11.42578125" style="1"/>
    <col min="8710" max="8710" width="14.7109375" style="1" customWidth="1"/>
    <col min="8711" max="8711" width="18.140625" style="1" customWidth="1"/>
    <col min="8712" max="8712" width="13.140625" style="1" customWidth="1"/>
    <col min="8713" max="8715" width="18.5703125" style="1" customWidth="1"/>
    <col min="8716" max="8716" width="31" style="1" customWidth="1"/>
    <col min="8717" max="8962" width="11.42578125" style="1"/>
    <col min="8963" max="8963" width="28.28515625" style="1" customWidth="1"/>
    <col min="8964" max="8964" width="13.85546875" style="1" bestFit="1" customWidth="1"/>
    <col min="8965" max="8965" width="11.42578125" style="1"/>
    <col min="8966" max="8966" width="14.7109375" style="1" customWidth="1"/>
    <col min="8967" max="8967" width="18.140625" style="1" customWidth="1"/>
    <col min="8968" max="8968" width="13.140625" style="1" customWidth="1"/>
    <col min="8969" max="8971" width="18.5703125" style="1" customWidth="1"/>
    <col min="8972" max="8972" width="31" style="1" customWidth="1"/>
    <col min="8973" max="9218" width="11.42578125" style="1"/>
    <col min="9219" max="9219" width="28.28515625" style="1" customWidth="1"/>
    <col min="9220" max="9220" width="13.85546875" style="1" bestFit="1" customWidth="1"/>
    <col min="9221" max="9221" width="11.42578125" style="1"/>
    <col min="9222" max="9222" width="14.7109375" style="1" customWidth="1"/>
    <col min="9223" max="9223" width="18.140625" style="1" customWidth="1"/>
    <col min="9224" max="9224" width="13.140625" style="1" customWidth="1"/>
    <col min="9225" max="9227" width="18.5703125" style="1" customWidth="1"/>
    <col min="9228" max="9228" width="31" style="1" customWidth="1"/>
    <col min="9229" max="9474" width="11.42578125" style="1"/>
    <col min="9475" max="9475" width="28.28515625" style="1" customWidth="1"/>
    <col min="9476" max="9476" width="13.85546875" style="1" bestFit="1" customWidth="1"/>
    <col min="9477" max="9477" width="11.42578125" style="1"/>
    <col min="9478" max="9478" width="14.7109375" style="1" customWidth="1"/>
    <col min="9479" max="9479" width="18.140625" style="1" customWidth="1"/>
    <col min="9480" max="9480" width="13.140625" style="1" customWidth="1"/>
    <col min="9481" max="9483" width="18.5703125" style="1" customWidth="1"/>
    <col min="9484" max="9484" width="31" style="1" customWidth="1"/>
    <col min="9485" max="9730" width="11.42578125" style="1"/>
    <col min="9731" max="9731" width="28.28515625" style="1" customWidth="1"/>
    <col min="9732" max="9732" width="13.85546875" style="1" bestFit="1" customWidth="1"/>
    <col min="9733" max="9733" width="11.42578125" style="1"/>
    <col min="9734" max="9734" width="14.7109375" style="1" customWidth="1"/>
    <col min="9735" max="9735" width="18.140625" style="1" customWidth="1"/>
    <col min="9736" max="9736" width="13.140625" style="1" customWidth="1"/>
    <col min="9737" max="9739" width="18.5703125" style="1" customWidth="1"/>
    <col min="9740" max="9740" width="31" style="1" customWidth="1"/>
    <col min="9741" max="9986" width="11.42578125" style="1"/>
    <col min="9987" max="9987" width="28.28515625" style="1" customWidth="1"/>
    <col min="9988" max="9988" width="13.85546875" style="1" bestFit="1" customWidth="1"/>
    <col min="9989" max="9989" width="11.42578125" style="1"/>
    <col min="9990" max="9990" width="14.7109375" style="1" customWidth="1"/>
    <col min="9991" max="9991" width="18.140625" style="1" customWidth="1"/>
    <col min="9992" max="9992" width="13.140625" style="1" customWidth="1"/>
    <col min="9993" max="9995" width="18.5703125" style="1" customWidth="1"/>
    <col min="9996" max="9996" width="31" style="1" customWidth="1"/>
    <col min="9997" max="10242" width="11.42578125" style="1"/>
    <col min="10243" max="10243" width="28.28515625" style="1" customWidth="1"/>
    <col min="10244" max="10244" width="13.85546875" style="1" bestFit="1" customWidth="1"/>
    <col min="10245" max="10245" width="11.42578125" style="1"/>
    <col min="10246" max="10246" width="14.7109375" style="1" customWidth="1"/>
    <col min="10247" max="10247" width="18.140625" style="1" customWidth="1"/>
    <col min="10248" max="10248" width="13.140625" style="1" customWidth="1"/>
    <col min="10249" max="10251" width="18.5703125" style="1" customWidth="1"/>
    <col min="10252" max="10252" width="31" style="1" customWidth="1"/>
    <col min="10253" max="10498" width="11.42578125" style="1"/>
    <col min="10499" max="10499" width="28.28515625" style="1" customWidth="1"/>
    <col min="10500" max="10500" width="13.85546875" style="1" bestFit="1" customWidth="1"/>
    <col min="10501" max="10501" width="11.42578125" style="1"/>
    <col min="10502" max="10502" width="14.7109375" style="1" customWidth="1"/>
    <col min="10503" max="10503" width="18.140625" style="1" customWidth="1"/>
    <col min="10504" max="10504" width="13.140625" style="1" customWidth="1"/>
    <col min="10505" max="10507" width="18.5703125" style="1" customWidth="1"/>
    <col min="10508" max="10508" width="31" style="1" customWidth="1"/>
    <col min="10509" max="10754" width="11.42578125" style="1"/>
    <col min="10755" max="10755" width="28.28515625" style="1" customWidth="1"/>
    <col min="10756" max="10756" width="13.85546875" style="1" bestFit="1" customWidth="1"/>
    <col min="10757" max="10757" width="11.42578125" style="1"/>
    <col min="10758" max="10758" width="14.7109375" style="1" customWidth="1"/>
    <col min="10759" max="10759" width="18.140625" style="1" customWidth="1"/>
    <col min="10760" max="10760" width="13.140625" style="1" customWidth="1"/>
    <col min="10761" max="10763" width="18.5703125" style="1" customWidth="1"/>
    <col min="10764" max="10764" width="31" style="1" customWidth="1"/>
    <col min="10765" max="11010" width="11.42578125" style="1"/>
    <col min="11011" max="11011" width="28.28515625" style="1" customWidth="1"/>
    <col min="11012" max="11012" width="13.85546875" style="1" bestFit="1" customWidth="1"/>
    <col min="11013" max="11013" width="11.42578125" style="1"/>
    <col min="11014" max="11014" width="14.7109375" style="1" customWidth="1"/>
    <col min="11015" max="11015" width="18.140625" style="1" customWidth="1"/>
    <col min="11016" max="11016" width="13.140625" style="1" customWidth="1"/>
    <col min="11017" max="11019" width="18.5703125" style="1" customWidth="1"/>
    <col min="11020" max="11020" width="31" style="1" customWidth="1"/>
    <col min="11021" max="11266" width="11.42578125" style="1"/>
    <col min="11267" max="11267" width="28.28515625" style="1" customWidth="1"/>
    <col min="11268" max="11268" width="13.85546875" style="1" bestFit="1" customWidth="1"/>
    <col min="11269" max="11269" width="11.42578125" style="1"/>
    <col min="11270" max="11270" width="14.7109375" style="1" customWidth="1"/>
    <col min="11271" max="11271" width="18.140625" style="1" customWidth="1"/>
    <col min="11272" max="11272" width="13.140625" style="1" customWidth="1"/>
    <col min="11273" max="11275" width="18.5703125" style="1" customWidth="1"/>
    <col min="11276" max="11276" width="31" style="1" customWidth="1"/>
    <col min="11277" max="11522" width="11.42578125" style="1"/>
    <col min="11523" max="11523" width="28.28515625" style="1" customWidth="1"/>
    <col min="11524" max="11524" width="13.85546875" style="1" bestFit="1" customWidth="1"/>
    <col min="11525" max="11525" width="11.42578125" style="1"/>
    <col min="11526" max="11526" width="14.7109375" style="1" customWidth="1"/>
    <col min="11527" max="11527" width="18.140625" style="1" customWidth="1"/>
    <col min="11528" max="11528" width="13.140625" style="1" customWidth="1"/>
    <col min="11529" max="11531" width="18.5703125" style="1" customWidth="1"/>
    <col min="11532" max="11532" width="31" style="1" customWidth="1"/>
    <col min="11533" max="11778" width="11.42578125" style="1"/>
    <col min="11779" max="11779" width="28.28515625" style="1" customWidth="1"/>
    <col min="11780" max="11780" width="13.85546875" style="1" bestFit="1" customWidth="1"/>
    <col min="11781" max="11781" width="11.42578125" style="1"/>
    <col min="11782" max="11782" width="14.7109375" style="1" customWidth="1"/>
    <col min="11783" max="11783" width="18.140625" style="1" customWidth="1"/>
    <col min="11784" max="11784" width="13.140625" style="1" customWidth="1"/>
    <col min="11785" max="11787" width="18.5703125" style="1" customWidth="1"/>
    <col min="11788" max="11788" width="31" style="1" customWidth="1"/>
    <col min="11789" max="12034" width="11.42578125" style="1"/>
    <col min="12035" max="12035" width="28.28515625" style="1" customWidth="1"/>
    <col min="12036" max="12036" width="13.85546875" style="1" bestFit="1" customWidth="1"/>
    <col min="12037" max="12037" width="11.42578125" style="1"/>
    <col min="12038" max="12038" width="14.7109375" style="1" customWidth="1"/>
    <col min="12039" max="12039" width="18.140625" style="1" customWidth="1"/>
    <col min="12040" max="12040" width="13.140625" style="1" customWidth="1"/>
    <col min="12041" max="12043" width="18.5703125" style="1" customWidth="1"/>
    <col min="12044" max="12044" width="31" style="1" customWidth="1"/>
    <col min="12045" max="12290" width="11.42578125" style="1"/>
    <col min="12291" max="12291" width="28.28515625" style="1" customWidth="1"/>
    <col min="12292" max="12292" width="13.85546875" style="1" bestFit="1" customWidth="1"/>
    <col min="12293" max="12293" width="11.42578125" style="1"/>
    <col min="12294" max="12294" width="14.7109375" style="1" customWidth="1"/>
    <col min="12295" max="12295" width="18.140625" style="1" customWidth="1"/>
    <col min="12296" max="12296" width="13.140625" style="1" customWidth="1"/>
    <col min="12297" max="12299" width="18.5703125" style="1" customWidth="1"/>
    <col min="12300" max="12300" width="31" style="1" customWidth="1"/>
    <col min="12301" max="12546" width="11.42578125" style="1"/>
    <col min="12547" max="12547" width="28.28515625" style="1" customWidth="1"/>
    <col min="12548" max="12548" width="13.85546875" style="1" bestFit="1" customWidth="1"/>
    <col min="12549" max="12549" width="11.42578125" style="1"/>
    <col min="12550" max="12550" width="14.7109375" style="1" customWidth="1"/>
    <col min="12551" max="12551" width="18.140625" style="1" customWidth="1"/>
    <col min="12552" max="12552" width="13.140625" style="1" customWidth="1"/>
    <col min="12553" max="12555" width="18.5703125" style="1" customWidth="1"/>
    <col min="12556" max="12556" width="31" style="1" customWidth="1"/>
    <col min="12557" max="12802" width="11.42578125" style="1"/>
    <col min="12803" max="12803" width="28.28515625" style="1" customWidth="1"/>
    <col min="12804" max="12804" width="13.85546875" style="1" bestFit="1" customWidth="1"/>
    <col min="12805" max="12805" width="11.42578125" style="1"/>
    <col min="12806" max="12806" width="14.7109375" style="1" customWidth="1"/>
    <col min="12807" max="12807" width="18.140625" style="1" customWidth="1"/>
    <col min="12808" max="12808" width="13.140625" style="1" customWidth="1"/>
    <col min="12809" max="12811" width="18.5703125" style="1" customWidth="1"/>
    <col min="12812" max="12812" width="31" style="1" customWidth="1"/>
    <col min="12813" max="13058" width="11.42578125" style="1"/>
    <col min="13059" max="13059" width="28.28515625" style="1" customWidth="1"/>
    <col min="13060" max="13060" width="13.85546875" style="1" bestFit="1" customWidth="1"/>
    <col min="13061" max="13061" width="11.42578125" style="1"/>
    <col min="13062" max="13062" width="14.7109375" style="1" customWidth="1"/>
    <col min="13063" max="13063" width="18.140625" style="1" customWidth="1"/>
    <col min="13064" max="13064" width="13.140625" style="1" customWidth="1"/>
    <col min="13065" max="13067" width="18.5703125" style="1" customWidth="1"/>
    <col min="13068" max="13068" width="31" style="1" customWidth="1"/>
    <col min="13069" max="13314" width="11.42578125" style="1"/>
    <col min="13315" max="13315" width="28.28515625" style="1" customWidth="1"/>
    <col min="13316" max="13316" width="13.85546875" style="1" bestFit="1" customWidth="1"/>
    <col min="13317" max="13317" width="11.42578125" style="1"/>
    <col min="13318" max="13318" width="14.7109375" style="1" customWidth="1"/>
    <col min="13319" max="13319" width="18.140625" style="1" customWidth="1"/>
    <col min="13320" max="13320" width="13.140625" style="1" customWidth="1"/>
    <col min="13321" max="13323" width="18.5703125" style="1" customWidth="1"/>
    <col min="13324" max="13324" width="31" style="1" customWidth="1"/>
    <col min="13325" max="13570" width="11.42578125" style="1"/>
    <col min="13571" max="13571" width="28.28515625" style="1" customWidth="1"/>
    <col min="13572" max="13572" width="13.85546875" style="1" bestFit="1" customWidth="1"/>
    <col min="13573" max="13573" width="11.42578125" style="1"/>
    <col min="13574" max="13574" width="14.7109375" style="1" customWidth="1"/>
    <col min="13575" max="13575" width="18.140625" style="1" customWidth="1"/>
    <col min="13576" max="13576" width="13.140625" style="1" customWidth="1"/>
    <col min="13577" max="13579" width="18.5703125" style="1" customWidth="1"/>
    <col min="13580" max="13580" width="31" style="1" customWidth="1"/>
    <col min="13581" max="13826" width="11.42578125" style="1"/>
    <col min="13827" max="13827" width="28.28515625" style="1" customWidth="1"/>
    <col min="13828" max="13828" width="13.85546875" style="1" bestFit="1" customWidth="1"/>
    <col min="13829" max="13829" width="11.42578125" style="1"/>
    <col min="13830" max="13830" width="14.7109375" style="1" customWidth="1"/>
    <col min="13831" max="13831" width="18.140625" style="1" customWidth="1"/>
    <col min="13832" max="13832" width="13.140625" style="1" customWidth="1"/>
    <col min="13833" max="13835" width="18.5703125" style="1" customWidth="1"/>
    <col min="13836" max="13836" width="31" style="1" customWidth="1"/>
    <col min="13837" max="14082" width="11.42578125" style="1"/>
    <col min="14083" max="14083" width="28.28515625" style="1" customWidth="1"/>
    <col min="14084" max="14084" width="13.85546875" style="1" bestFit="1" customWidth="1"/>
    <col min="14085" max="14085" width="11.42578125" style="1"/>
    <col min="14086" max="14086" width="14.7109375" style="1" customWidth="1"/>
    <col min="14087" max="14087" width="18.140625" style="1" customWidth="1"/>
    <col min="14088" max="14088" width="13.140625" style="1" customWidth="1"/>
    <col min="14089" max="14091" width="18.5703125" style="1" customWidth="1"/>
    <col min="14092" max="14092" width="31" style="1" customWidth="1"/>
    <col min="14093" max="14338" width="11.42578125" style="1"/>
    <col min="14339" max="14339" width="28.28515625" style="1" customWidth="1"/>
    <col min="14340" max="14340" width="13.85546875" style="1" bestFit="1" customWidth="1"/>
    <col min="14341" max="14341" width="11.42578125" style="1"/>
    <col min="14342" max="14342" width="14.7109375" style="1" customWidth="1"/>
    <col min="14343" max="14343" width="18.140625" style="1" customWidth="1"/>
    <col min="14344" max="14344" width="13.140625" style="1" customWidth="1"/>
    <col min="14345" max="14347" width="18.5703125" style="1" customWidth="1"/>
    <col min="14348" max="14348" width="31" style="1" customWidth="1"/>
    <col min="14349" max="14594" width="11.42578125" style="1"/>
    <col min="14595" max="14595" width="28.28515625" style="1" customWidth="1"/>
    <col min="14596" max="14596" width="13.85546875" style="1" bestFit="1" customWidth="1"/>
    <col min="14597" max="14597" width="11.42578125" style="1"/>
    <col min="14598" max="14598" width="14.7109375" style="1" customWidth="1"/>
    <col min="14599" max="14599" width="18.140625" style="1" customWidth="1"/>
    <col min="14600" max="14600" width="13.140625" style="1" customWidth="1"/>
    <col min="14601" max="14603" width="18.5703125" style="1" customWidth="1"/>
    <col min="14604" max="14604" width="31" style="1" customWidth="1"/>
    <col min="14605" max="14850" width="11.42578125" style="1"/>
    <col min="14851" max="14851" width="28.28515625" style="1" customWidth="1"/>
    <col min="14852" max="14852" width="13.85546875" style="1" bestFit="1" customWidth="1"/>
    <col min="14853" max="14853" width="11.42578125" style="1"/>
    <col min="14854" max="14854" width="14.7109375" style="1" customWidth="1"/>
    <col min="14855" max="14855" width="18.140625" style="1" customWidth="1"/>
    <col min="14856" max="14856" width="13.140625" style="1" customWidth="1"/>
    <col min="14857" max="14859" width="18.5703125" style="1" customWidth="1"/>
    <col min="14860" max="14860" width="31" style="1" customWidth="1"/>
    <col min="14861" max="15106" width="11.42578125" style="1"/>
    <col min="15107" max="15107" width="28.28515625" style="1" customWidth="1"/>
    <col min="15108" max="15108" width="13.85546875" style="1" bestFit="1" customWidth="1"/>
    <col min="15109" max="15109" width="11.42578125" style="1"/>
    <col min="15110" max="15110" width="14.7109375" style="1" customWidth="1"/>
    <col min="15111" max="15111" width="18.140625" style="1" customWidth="1"/>
    <col min="15112" max="15112" width="13.140625" style="1" customWidth="1"/>
    <col min="15113" max="15115" width="18.5703125" style="1" customWidth="1"/>
    <col min="15116" max="15116" width="31" style="1" customWidth="1"/>
    <col min="15117" max="15362" width="11.42578125" style="1"/>
    <col min="15363" max="15363" width="28.28515625" style="1" customWidth="1"/>
    <col min="15364" max="15364" width="13.85546875" style="1" bestFit="1" customWidth="1"/>
    <col min="15365" max="15365" width="11.42578125" style="1"/>
    <col min="15366" max="15366" width="14.7109375" style="1" customWidth="1"/>
    <col min="15367" max="15367" width="18.140625" style="1" customWidth="1"/>
    <col min="15368" max="15368" width="13.140625" style="1" customWidth="1"/>
    <col min="15369" max="15371" width="18.5703125" style="1" customWidth="1"/>
    <col min="15372" max="15372" width="31" style="1" customWidth="1"/>
    <col min="15373" max="15618" width="11.42578125" style="1"/>
    <col min="15619" max="15619" width="28.28515625" style="1" customWidth="1"/>
    <col min="15620" max="15620" width="13.85546875" style="1" bestFit="1" customWidth="1"/>
    <col min="15621" max="15621" width="11.42578125" style="1"/>
    <col min="15622" max="15622" width="14.7109375" style="1" customWidth="1"/>
    <col min="15623" max="15623" width="18.140625" style="1" customWidth="1"/>
    <col min="15624" max="15624" width="13.140625" style="1" customWidth="1"/>
    <col min="15625" max="15627" width="18.5703125" style="1" customWidth="1"/>
    <col min="15628" max="15628" width="31" style="1" customWidth="1"/>
    <col min="15629" max="15874" width="11.42578125" style="1"/>
    <col min="15875" max="15875" width="28.28515625" style="1" customWidth="1"/>
    <col min="15876" max="15876" width="13.85546875" style="1" bestFit="1" customWidth="1"/>
    <col min="15877" max="15877" width="11.42578125" style="1"/>
    <col min="15878" max="15878" width="14.7109375" style="1" customWidth="1"/>
    <col min="15879" max="15879" width="18.140625" style="1" customWidth="1"/>
    <col min="15880" max="15880" width="13.140625" style="1" customWidth="1"/>
    <col min="15881" max="15883" width="18.5703125" style="1" customWidth="1"/>
    <col min="15884" max="15884" width="31" style="1" customWidth="1"/>
    <col min="15885" max="16130" width="11.42578125" style="1"/>
    <col min="16131" max="16131" width="28.28515625" style="1" customWidth="1"/>
    <col min="16132" max="16132" width="13.85546875" style="1" bestFit="1" customWidth="1"/>
    <col min="16133" max="16133" width="11.42578125" style="1"/>
    <col min="16134" max="16134" width="14.7109375" style="1" customWidth="1"/>
    <col min="16135" max="16135" width="18.140625" style="1" customWidth="1"/>
    <col min="16136" max="16136" width="13.140625" style="1" customWidth="1"/>
    <col min="16137" max="16139" width="18.5703125" style="1" customWidth="1"/>
    <col min="16140" max="16140" width="31" style="1" customWidth="1"/>
    <col min="16141" max="16384" width="11.42578125" style="1"/>
  </cols>
  <sheetData>
    <row r="1" spans="1:12">
      <c r="A1" s="335"/>
      <c r="B1" s="336" t="s">
        <v>356</v>
      </c>
      <c r="C1" s="337"/>
      <c r="D1" s="337"/>
      <c r="E1" s="337"/>
      <c r="F1" s="337"/>
      <c r="G1" s="337"/>
      <c r="H1" s="337"/>
      <c r="I1" s="337"/>
      <c r="J1" s="338"/>
      <c r="K1" s="329" t="s">
        <v>357</v>
      </c>
      <c r="L1" s="330"/>
    </row>
    <row r="2" spans="1:12">
      <c r="A2" s="335"/>
      <c r="B2" s="339"/>
      <c r="C2" s="340"/>
      <c r="D2" s="340"/>
      <c r="E2" s="340"/>
      <c r="F2" s="340"/>
      <c r="G2" s="340"/>
      <c r="H2" s="340"/>
      <c r="I2" s="340"/>
      <c r="J2" s="341"/>
      <c r="K2" s="331" t="s">
        <v>358</v>
      </c>
      <c r="L2" s="332"/>
    </row>
    <row r="3" spans="1:12" ht="13.5" thickBot="1">
      <c r="A3" s="335"/>
      <c r="B3" s="342"/>
      <c r="C3" s="343"/>
      <c r="D3" s="343"/>
      <c r="E3" s="343"/>
      <c r="F3" s="343"/>
      <c r="G3" s="343"/>
      <c r="H3" s="343"/>
      <c r="I3" s="343"/>
      <c r="J3" s="344"/>
      <c r="K3" s="333" t="s">
        <v>359</v>
      </c>
      <c r="L3" s="334"/>
    </row>
    <row r="4" spans="1:12" s="346" customFormat="1" ht="27" customHeight="1">
      <c r="A4" s="345" t="s">
        <v>184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</row>
    <row r="5" spans="1:12" ht="19.5" customHeight="1">
      <c r="A5" s="306" t="s">
        <v>44</v>
      </c>
      <c r="B5" s="306" t="s">
        <v>2</v>
      </c>
      <c r="C5" s="307" t="s">
        <v>3</v>
      </c>
      <c r="D5" s="307" t="s">
        <v>4</v>
      </c>
      <c r="E5" s="307" t="s">
        <v>5</v>
      </c>
      <c r="F5" s="307" t="s">
        <v>6</v>
      </c>
      <c r="G5" s="307"/>
      <c r="H5" s="307"/>
      <c r="I5" s="307"/>
      <c r="J5" s="307"/>
      <c r="K5" s="307"/>
      <c r="L5" s="307"/>
    </row>
    <row r="6" spans="1:12" ht="19.5" customHeight="1">
      <c r="A6" s="306"/>
      <c r="B6" s="306"/>
      <c r="C6" s="307"/>
      <c r="D6" s="307"/>
      <c r="E6" s="307"/>
      <c r="F6" s="147" t="s">
        <v>7</v>
      </c>
      <c r="G6" s="147" t="s">
        <v>8</v>
      </c>
      <c r="H6" s="262" t="s">
        <v>9</v>
      </c>
      <c r="I6" s="262" t="s">
        <v>10</v>
      </c>
      <c r="J6" s="262" t="s">
        <v>11</v>
      </c>
      <c r="K6" s="262" t="s">
        <v>12</v>
      </c>
      <c r="L6" s="262" t="s">
        <v>13</v>
      </c>
    </row>
    <row r="7" spans="1:12" ht="32.25" customHeight="1">
      <c r="A7" s="94" t="s">
        <v>185</v>
      </c>
      <c r="B7" s="95" t="s">
        <v>186</v>
      </c>
      <c r="C7" s="95">
        <v>1</v>
      </c>
      <c r="D7" s="148"/>
      <c r="E7" s="148"/>
      <c r="F7" s="147"/>
      <c r="G7" s="147"/>
      <c r="H7" s="93"/>
      <c r="I7" s="93"/>
      <c r="J7" s="93"/>
      <c r="K7" s="93"/>
      <c r="L7" s="93"/>
    </row>
    <row r="8" spans="1:12" ht="25.5">
      <c r="A8" s="149" t="s">
        <v>187</v>
      </c>
      <c r="B8" s="17" t="s">
        <v>84</v>
      </c>
      <c r="C8" s="17">
        <v>11</v>
      </c>
      <c r="D8" s="150">
        <f>2300000*1.004</f>
        <v>2309200</v>
      </c>
      <c r="E8" s="157">
        <f>+(C8*D8)</f>
        <v>25401200</v>
      </c>
      <c r="F8" s="151"/>
      <c r="G8" s="151">
        <f>+E8</f>
        <v>25401200</v>
      </c>
      <c r="H8" s="151"/>
      <c r="I8" s="151"/>
      <c r="J8" s="151"/>
      <c r="K8" s="151"/>
      <c r="L8" s="151"/>
    </row>
    <row r="9" spans="1:12" ht="38.25">
      <c r="A9" s="149" t="s">
        <v>188</v>
      </c>
      <c r="B9" s="17" t="s">
        <v>84</v>
      </c>
      <c r="C9" s="17">
        <v>1</v>
      </c>
      <c r="D9" s="150">
        <f>9500000*1.004</f>
        <v>9538000</v>
      </c>
      <c r="E9" s="157">
        <f>+(C9*D9)</f>
        <v>9538000</v>
      </c>
      <c r="F9" s="151"/>
      <c r="G9" s="151">
        <f t="shared" ref="G9:G46" si="0">+E9</f>
        <v>9538000</v>
      </c>
      <c r="H9" s="151"/>
      <c r="I9" s="151"/>
      <c r="J9" s="151"/>
      <c r="K9" s="151"/>
      <c r="L9" s="151"/>
    </row>
    <row r="10" spans="1:12" ht="38.25">
      <c r="A10" s="149" t="s">
        <v>189</v>
      </c>
      <c r="B10" s="17" t="s">
        <v>24</v>
      </c>
      <c r="C10" s="17">
        <v>1</v>
      </c>
      <c r="D10" s="150">
        <f>10000000*1.004</f>
        <v>10040000</v>
      </c>
      <c r="E10" s="157">
        <f>+(C10*D10)</f>
        <v>10040000</v>
      </c>
      <c r="F10" s="151"/>
      <c r="G10" s="151">
        <f t="shared" si="0"/>
        <v>10040000</v>
      </c>
      <c r="H10" s="151"/>
      <c r="I10" s="151"/>
      <c r="J10" s="151"/>
      <c r="K10" s="151"/>
      <c r="L10" s="151"/>
    </row>
    <row r="11" spans="1:12" ht="25.5">
      <c r="A11" s="152" t="s">
        <v>190</v>
      </c>
      <c r="B11" s="17" t="s">
        <v>84</v>
      </c>
      <c r="C11" s="17">
        <v>10</v>
      </c>
      <c r="D11" s="150">
        <f>2800000*1.004</f>
        <v>2811200</v>
      </c>
      <c r="E11" s="157">
        <f>+(C11*D11)</f>
        <v>28112000</v>
      </c>
      <c r="F11" s="151"/>
      <c r="G11" s="151">
        <f t="shared" si="0"/>
        <v>28112000</v>
      </c>
      <c r="H11" s="151"/>
      <c r="I11" s="151"/>
      <c r="J11" s="151"/>
      <c r="K11" s="151"/>
      <c r="L11" s="151"/>
    </row>
    <row r="12" spans="1:12">
      <c r="A12" s="152" t="s">
        <v>191</v>
      </c>
      <c r="B12" s="153" t="s">
        <v>84</v>
      </c>
      <c r="C12" s="153">
        <v>11</v>
      </c>
      <c r="D12" s="10">
        <f>2800000*1.004</f>
        <v>2811200</v>
      </c>
      <c r="E12" s="157">
        <f>+(C12*D12)</f>
        <v>30923200</v>
      </c>
      <c r="F12" s="151"/>
      <c r="G12" s="151">
        <f t="shared" si="0"/>
        <v>30923200</v>
      </c>
      <c r="H12" s="151"/>
      <c r="I12" s="151"/>
      <c r="J12" s="151"/>
      <c r="K12" s="151"/>
      <c r="L12" s="151"/>
    </row>
    <row r="13" spans="1:12" ht="24">
      <c r="A13" s="94" t="s">
        <v>192</v>
      </c>
      <c r="B13" s="95" t="s">
        <v>15</v>
      </c>
      <c r="C13" s="95">
        <v>50</v>
      </c>
      <c r="D13" s="154"/>
      <c r="E13" s="10"/>
      <c r="F13" s="155"/>
      <c r="G13" s="151">
        <f t="shared" si="0"/>
        <v>0</v>
      </c>
      <c r="H13" s="151"/>
      <c r="I13" s="151"/>
      <c r="J13" s="151"/>
      <c r="K13" s="151"/>
      <c r="L13" s="10"/>
    </row>
    <row r="14" spans="1:12" ht="25.5">
      <c r="A14" s="156" t="s">
        <v>193</v>
      </c>
      <c r="B14" s="17" t="s">
        <v>194</v>
      </c>
      <c r="C14" s="17">
        <v>12</v>
      </c>
      <c r="D14" s="150">
        <f>((6143000*1.0371))+2000000*1.004</f>
        <v>8378905.2999999998</v>
      </c>
      <c r="E14" s="157">
        <f>+C14*D14</f>
        <v>100546863.59999999</v>
      </c>
      <c r="F14" s="155"/>
      <c r="G14" s="151">
        <f t="shared" si="0"/>
        <v>100546863.59999999</v>
      </c>
      <c r="H14" s="151"/>
      <c r="I14" s="151"/>
      <c r="J14" s="151"/>
      <c r="K14" s="151"/>
      <c r="L14" s="10"/>
    </row>
    <row r="15" spans="1:12" s="205" customFormat="1" ht="25.5">
      <c r="A15" s="156" t="s">
        <v>195</v>
      </c>
      <c r="B15" s="17" t="s">
        <v>24</v>
      </c>
      <c r="C15" s="17">
        <v>1</v>
      </c>
      <c r="D15" s="150">
        <v>29000000</v>
      </c>
      <c r="E15" s="157">
        <v>3012000</v>
      </c>
      <c r="F15" s="155"/>
      <c r="G15" s="151">
        <f>+E15</f>
        <v>3012000</v>
      </c>
      <c r="H15" s="151"/>
      <c r="I15" s="151"/>
      <c r="J15" s="151"/>
      <c r="K15" s="151"/>
      <c r="L15" s="10"/>
    </row>
    <row r="16" spans="1:12">
      <c r="A16" s="156" t="s">
        <v>196</v>
      </c>
      <c r="B16" s="17" t="s">
        <v>24</v>
      </c>
      <c r="C16" s="17">
        <v>1</v>
      </c>
      <c r="D16" s="157">
        <f>(1800000*3+6800000*5)*1.004</f>
        <v>39557600</v>
      </c>
      <c r="E16" s="157">
        <f>+D16</f>
        <v>39557600</v>
      </c>
      <c r="F16" s="155"/>
      <c r="G16" s="151">
        <f t="shared" si="0"/>
        <v>39557600</v>
      </c>
      <c r="H16" s="151"/>
      <c r="I16" s="151"/>
      <c r="J16" s="151"/>
      <c r="K16" s="151"/>
      <c r="L16" s="10"/>
    </row>
    <row r="17" spans="1:12" ht="25.5">
      <c r="A17" s="156" t="s">
        <v>197</v>
      </c>
      <c r="B17" s="17" t="s">
        <v>24</v>
      </c>
      <c r="C17" s="17">
        <v>1</v>
      </c>
      <c r="D17" s="157">
        <f>13500000*1.004</f>
        <v>13554000</v>
      </c>
      <c r="E17" s="157">
        <f>+D17</f>
        <v>13554000</v>
      </c>
      <c r="F17" s="155"/>
      <c r="G17" s="151">
        <f t="shared" si="0"/>
        <v>13554000</v>
      </c>
      <c r="H17" s="151"/>
      <c r="I17" s="151"/>
      <c r="J17" s="151"/>
      <c r="K17" s="151"/>
      <c r="L17" s="10"/>
    </row>
    <row r="18" spans="1:12" ht="25.5">
      <c r="A18" s="156" t="s">
        <v>198</v>
      </c>
      <c r="B18" s="17" t="s">
        <v>24</v>
      </c>
      <c r="C18" s="17">
        <v>1</v>
      </c>
      <c r="D18" s="150">
        <f>(11745000*1.0371)*1.004</f>
        <v>12229462.457999999</v>
      </c>
      <c r="E18" s="157">
        <f>+D18</f>
        <v>12229462.457999999</v>
      </c>
      <c r="F18" s="155"/>
      <c r="G18" s="151">
        <f t="shared" si="0"/>
        <v>12229462.457999999</v>
      </c>
      <c r="H18" s="151"/>
      <c r="I18" s="151"/>
      <c r="J18" s="151"/>
      <c r="K18" s="151"/>
      <c r="L18" s="10"/>
    </row>
    <row r="19" spans="1:12" ht="25.5">
      <c r="A19" s="158" t="s">
        <v>199</v>
      </c>
      <c r="B19" s="17" t="s">
        <v>24</v>
      </c>
      <c r="C19" s="17">
        <v>1</v>
      </c>
      <c r="D19" s="150">
        <f>(15000000*3+22000000*2)*1.004</f>
        <v>89356000</v>
      </c>
      <c r="E19" s="157">
        <f>+D19</f>
        <v>89356000</v>
      </c>
      <c r="F19" s="155"/>
      <c r="G19" s="151">
        <f t="shared" si="0"/>
        <v>89356000</v>
      </c>
      <c r="H19" s="151"/>
      <c r="I19" s="151"/>
      <c r="J19" s="151"/>
      <c r="K19" s="151"/>
      <c r="L19" s="10"/>
    </row>
    <row r="20" spans="1:12">
      <c r="A20" s="156" t="s">
        <v>200</v>
      </c>
      <c r="B20" s="17" t="s">
        <v>24</v>
      </c>
      <c r="C20" s="17">
        <v>1</v>
      </c>
      <c r="D20" s="150">
        <v>15000000</v>
      </c>
      <c r="E20" s="157">
        <f>+D20</f>
        <v>15000000</v>
      </c>
      <c r="F20" s="155"/>
      <c r="G20" s="151">
        <f t="shared" si="0"/>
        <v>15000000</v>
      </c>
      <c r="H20" s="151"/>
      <c r="I20" s="151"/>
      <c r="J20" s="151"/>
      <c r="K20" s="151"/>
      <c r="L20" s="10"/>
    </row>
    <row r="21" spans="1:12" ht="25.5">
      <c r="A21" s="156" t="s">
        <v>201</v>
      </c>
      <c r="B21" s="17" t="s">
        <v>194</v>
      </c>
      <c r="C21" s="17">
        <v>12</v>
      </c>
      <c r="D21" s="150">
        <f>10709000*1.004</f>
        <v>10751836</v>
      </c>
      <c r="E21" s="157">
        <f>+C21*D21</f>
        <v>129022032</v>
      </c>
      <c r="F21" s="155"/>
      <c r="G21" s="151">
        <f t="shared" si="0"/>
        <v>129022032</v>
      </c>
      <c r="H21" s="151"/>
      <c r="I21" s="151"/>
      <c r="J21" s="151"/>
      <c r="K21" s="151"/>
      <c r="L21" s="10"/>
    </row>
    <row r="22" spans="1:12" ht="25.5">
      <c r="A22" s="156" t="s">
        <v>202</v>
      </c>
      <c r="B22" s="17" t="s">
        <v>203</v>
      </c>
      <c r="C22" s="17">
        <v>80</v>
      </c>
      <c r="D22" s="150">
        <f>(15081670*1.004)/80</f>
        <v>189274.95850000001</v>
      </c>
      <c r="E22" s="157">
        <f>+C22*D22</f>
        <v>15141996.68</v>
      </c>
      <c r="F22" s="155"/>
      <c r="G22" s="151">
        <f t="shared" si="0"/>
        <v>15141996.68</v>
      </c>
      <c r="H22" s="151"/>
      <c r="I22" s="151"/>
      <c r="J22" s="151"/>
      <c r="K22" s="151"/>
      <c r="L22" s="10"/>
    </row>
    <row r="23" spans="1:12">
      <c r="A23" s="156" t="s">
        <v>204</v>
      </c>
      <c r="B23" s="17" t="s">
        <v>194</v>
      </c>
      <c r="C23" s="17">
        <v>12</v>
      </c>
      <c r="D23" s="150">
        <f>(450000*1.0371)*1.004</f>
        <v>468561.77999999997</v>
      </c>
      <c r="E23" s="157">
        <f>+C23*D23</f>
        <v>5622741.3599999994</v>
      </c>
      <c r="F23" s="155"/>
      <c r="G23" s="151">
        <f t="shared" si="0"/>
        <v>5622741.3599999994</v>
      </c>
      <c r="H23" s="151"/>
      <c r="I23" s="151"/>
      <c r="J23" s="151"/>
      <c r="K23" s="151"/>
      <c r="L23" s="10"/>
    </row>
    <row r="24" spans="1:12" ht="38.25">
      <c r="A24" s="156" t="s">
        <v>205</v>
      </c>
      <c r="B24" s="17" t="s">
        <v>24</v>
      </c>
      <c r="C24" s="17">
        <v>1</v>
      </c>
      <c r="D24" s="150">
        <f>10000000*1.004</f>
        <v>10040000</v>
      </c>
      <c r="E24" s="157">
        <f>+C24*D24</f>
        <v>10040000</v>
      </c>
      <c r="F24" s="155"/>
      <c r="G24" s="151">
        <f t="shared" si="0"/>
        <v>10040000</v>
      </c>
      <c r="H24" s="151"/>
      <c r="I24" s="151"/>
      <c r="J24" s="151"/>
      <c r="K24" s="151"/>
      <c r="L24" s="10"/>
    </row>
    <row r="25" spans="1:12">
      <c r="A25" s="156" t="s">
        <v>206</v>
      </c>
      <c r="B25" s="17" t="s">
        <v>24</v>
      </c>
      <c r="C25" s="17">
        <v>1</v>
      </c>
      <c r="D25" s="150">
        <f>(5000000*1.0371)*1.004</f>
        <v>5206242</v>
      </c>
      <c r="E25" s="157">
        <f>+C25*D25</f>
        <v>5206242</v>
      </c>
      <c r="F25" s="155"/>
      <c r="G25" s="151">
        <f t="shared" si="0"/>
        <v>5206242</v>
      </c>
      <c r="H25" s="151"/>
      <c r="I25" s="151"/>
      <c r="J25" s="151"/>
      <c r="K25" s="151"/>
      <c r="L25" s="10"/>
    </row>
    <row r="26" spans="1:12" ht="25.5">
      <c r="A26" s="156" t="s">
        <v>207</v>
      </c>
      <c r="B26" s="17" t="s">
        <v>20</v>
      </c>
      <c r="C26" s="17">
        <v>1</v>
      </c>
      <c r="D26" s="150">
        <f>(5231600*1.0371)*1.004</f>
        <v>5447395.1294399993</v>
      </c>
      <c r="E26" s="157">
        <f>+D26</f>
        <v>5447395.1294399993</v>
      </c>
      <c r="F26" s="155"/>
      <c r="G26" s="151">
        <f t="shared" si="0"/>
        <v>5447395.1294399993</v>
      </c>
      <c r="H26" s="151"/>
      <c r="I26" s="151"/>
      <c r="J26" s="151"/>
      <c r="K26" s="151"/>
      <c r="L26" s="10"/>
    </row>
    <row r="27" spans="1:12" ht="38.25">
      <c r="A27" s="149" t="s">
        <v>208</v>
      </c>
      <c r="B27" s="17" t="s">
        <v>20</v>
      </c>
      <c r="C27" s="153">
        <v>2</v>
      </c>
      <c r="D27" s="159">
        <f>10000000*1.004</f>
        <v>10040000</v>
      </c>
      <c r="E27" s="157">
        <f>+D27</f>
        <v>10040000</v>
      </c>
      <c r="F27" s="155"/>
      <c r="G27" s="151">
        <f t="shared" si="0"/>
        <v>10040000</v>
      </c>
      <c r="H27" s="151"/>
      <c r="I27" s="151"/>
      <c r="J27" s="151"/>
      <c r="K27" s="151"/>
      <c r="L27" s="10"/>
    </row>
    <row r="28" spans="1:12" ht="76.5">
      <c r="A28" s="156" t="s">
        <v>209</v>
      </c>
      <c r="B28" s="17" t="s">
        <v>24</v>
      </c>
      <c r="C28" s="17">
        <v>1</v>
      </c>
      <c r="D28" s="150">
        <f>60000000*1.004</f>
        <v>60240000</v>
      </c>
      <c r="E28" s="157"/>
      <c r="F28" s="155"/>
      <c r="G28" s="151">
        <f t="shared" si="0"/>
        <v>0</v>
      </c>
      <c r="H28" s="151"/>
      <c r="I28" s="151"/>
      <c r="J28" s="151"/>
      <c r="K28" s="151"/>
      <c r="L28" s="10"/>
    </row>
    <row r="29" spans="1:12" ht="24">
      <c r="A29" s="94" t="s">
        <v>210</v>
      </c>
      <c r="B29" s="160" t="s">
        <v>211</v>
      </c>
      <c r="C29" s="160">
        <v>1</v>
      </c>
      <c r="D29" s="154"/>
      <c r="E29" s="10"/>
      <c r="F29" s="155"/>
      <c r="G29" s="151">
        <f>+E29</f>
        <v>0</v>
      </c>
      <c r="H29" s="151"/>
      <c r="I29" s="151"/>
      <c r="J29" s="151"/>
      <c r="K29" s="151"/>
      <c r="L29" s="10"/>
    </row>
    <row r="30" spans="1:12" ht="25.5">
      <c r="A30" s="156" t="s">
        <v>212</v>
      </c>
      <c r="B30" s="17" t="s">
        <v>24</v>
      </c>
      <c r="C30" s="17">
        <v>1</v>
      </c>
      <c r="D30" s="150">
        <f>10000000*1.004</f>
        <v>10040000</v>
      </c>
      <c r="E30" s="157">
        <f>+D30</f>
        <v>10040000</v>
      </c>
      <c r="F30" s="155"/>
      <c r="G30" s="151">
        <f t="shared" si="0"/>
        <v>10040000</v>
      </c>
      <c r="H30" s="151"/>
      <c r="I30" s="151"/>
      <c r="J30" s="151"/>
      <c r="K30" s="151"/>
      <c r="L30" s="10"/>
    </row>
    <row r="31" spans="1:12" ht="38.25">
      <c r="A31" s="36" t="s">
        <v>213</v>
      </c>
      <c r="B31" s="17" t="s">
        <v>24</v>
      </c>
      <c r="C31" s="17">
        <v>1</v>
      </c>
      <c r="D31" s="150">
        <f>20000000*1.004</f>
        <v>20080000</v>
      </c>
      <c r="E31" s="157"/>
      <c r="F31" s="155"/>
      <c r="G31" s="151">
        <f t="shared" si="0"/>
        <v>0</v>
      </c>
      <c r="H31" s="151"/>
      <c r="I31" s="151"/>
      <c r="J31" s="151"/>
      <c r="K31" s="151"/>
      <c r="L31" s="10"/>
    </row>
    <row r="32" spans="1:12" ht="72">
      <c r="A32" s="94" t="s">
        <v>214</v>
      </c>
      <c r="B32" s="95" t="s">
        <v>215</v>
      </c>
      <c r="C32" s="95">
        <v>1</v>
      </c>
      <c r="D32" s="150"/>
      <c r="E32" s="157"/>
      <c r="F32" s="157"/>
      <c r="G32" s="151">
        <f t="shared" si="0"/>
        <v>0</v>
      </c>
      <c r="H32" s="151"/>
      <c r="I32" s="151"/>
      <c r="J32" s="151"/>
      <c r="K32" s="151"/>
      <c r="L32" s="157"/>
    </row>
    <row r="33" spans="1:12" ht="25.5">
      <c r="A33" s="36" t="s">
        <v>216</v>
      </c>
      <c r="B33" s="153" t="s">
        <v>24</v>
      </c>
      <c r="C33" s="17">
        <v>1</v>
      </c>
      <c r="D33" s="155">
        <f>400000000*1.004</f>
        <v>401600000</v>
      </c>
      <c r="E33" s="155">
        <f>+D33</f>
        <v>401600000</v>
      </c>
      <c r="F33" s="157"/>
      <c r="G33" s="151">
        <f t="shared" si="0"/>
        <v>401600000</v>
      </c>
      <c r="H33" s="151"/>
      <c r="I33" s="151"/>
      <c r="J33" s="151"/>
      <c r="K33" s="151"/>
      <c r="L33" s="157"/>
    </row>
    <row r="34" spans="1:12" ht="25.5">
      <c r="A34" s="36" t="s">
        <v>217</v>
      </c>
      <c r="B34" s="153" t="s">
        <v>24</v>
      </c>
      <c r="C34" s="17">
        <v>1</v>
      </c>
      <c r="D34" s="155">
        <f>+E34</f>
        <v>286642000</v>
      </c>
      <c r="E34" s="155">
        <v>286642000</v>
      </c>
      <c r="F34" s="157"/>
      <c r="G34" s="151">
        <f t="shared" si="0"/>
        <v>286642000</v>
      </c>
      <c r="H34" s="151"/>
      <c r="I34" s="151"/>
      <c r="J34" s="151"/>
      <c r="K34" s="151"/>
      <c r="L34" s="157"/>
    </row>
    <row r="35" spans="1:12" ht="25.5">
      <c r="A35" s="36" t="s">
        <v>218</v>
      </c>
      <c r="B35" s="153" t="s">
        <v>24</v>
      </c>
      <c r="C35" s="17">
        <v>1</v>
      </c>
      <c r="D35" s="155">
        <f>150000000*1.004</f>
        <v>150600000</v>
      </c>
      <c r="E35" s="155"/>
      <c r="F35" s="157"/>
      <c r="G35" s="151">
        <f t="shared" si="0"/>
        <v>0</v>
      </c>
      <c r="H35" s="151"/>
      <c r="I35" s="151"/>
      <c r="J35" s="151"/>
      <c r="K35" s="151"/>
      <c r="L35" s="157"/>
    </row>
    <row r="36" spans="1:12" ht="36">
      <c r="A36" s="94" t="s">
        <v>219</v>
      </c>
      <c r="B36" s="95" t="s">
        <v>220</v>
      </c>
      <c r="C36" s="95">
        <v>1</v>
      </c>
      <c r="D36" s="150"/>
      <c r="E36" s="157"/>
      <c r="F36" s="157"/>
      <c r="G36" s="151">
        <f t="shared" si="0"/>
        <v>0</v>
      </c>
      <c r="H36" s="151"/>
      <c r="I36" s="151"/>
      <c r="J36" s="151"/>
      <c r="K36" s="151"/>
      <c r="L36" s="157"/>
    </row>
    <row r="37" spans="1:12" ht="25.5">
      <c r="A37" s="161" t="s">
        <v>221</v>
      </c>
      <c r="B37" s="153" t="s">
        <v>24</v>
      </c>
      <c r="C37" s="17">
        <v>1</v>
      </c>
      <c r="D37" s="155">
        <f>350000000*1.004</f>
        <v>351400000</v>
      </c>
      <c r="E37" s="155">
        <v>85404065.77256012</v>
      </c>
      <c r="F37" s="157"/>
      <c r="G37" s="151">
        <f>+E37</f>
        <v>85404065.77256012</v>
      </c>
      <c r="H37" s="151"/>
      <c r="I37" s="151"/>
      <c r="J37" s="151"/>
      <c r="K37" s="151"/>
      <c r="L37" s="157"/>
    </row>
    <row r="38" spans="1:12" ht="25.5">
      <c r="A38" s="161" t="s">
        <v>222</v>
      </c>
      <c r="B38" s="153" t="s">
        <v>24</v>
      </c>
      <c r="C38" s="17">
        <v>1</v>
      </c>
      <c r="D38" s="155">
        <f>150000000*1.004</f>
        <v>150600000</v>
      </c>
      <c r="E38" s="155"/>
      <c r="F38" s="157"/>
      <c r="G38" s="151">
        <f>+E38</f>
        <v>0</v>
      </c>
      <c r="H38" s="151"/>
      <c r="I38" s="151"/>
      <c r="J38" s="151"/>
      <c r="K38" s="151"/>
      <c r="L38" s="157"/>
    </row>
    <row r="39" spans="1:12">
      <c r="A39" s="94" t="s">
        <v>223</v>
      </c>
      <c r="B39" s="95" t="s">
        <v>126</v>
      </c>
      <c r="C39" s="95">
        <v>1</v>
      </c>
      <c r="D39" s="150"/>
      <c r="E39" s="157"/>
      <c r="F39" s="157"/>
      <c r="G39" s="151">
        <f t="shared" si="0"/>
        <v>0</v>
      </c>
      <c r="H39" s="151"/>
      <c r="I39" s="151"/>
      <c r="J39" s="151"/>
      <c r="K39" s="151"/>
      <c r="L39" s="157"/>
    </row>
    <row r="40" spans="1:12" ht="25.5">
      <c r="A40" s="36" t="s">
        <v>224</v>
      </c>
      <c r="B40" s="17" t="s">
        <v>24</v>
      </c>
      <c r="C40" s="17">
        <v>1</v>
      </c>
      <c r="D40" s="150">
        <f>10000000*1.004</f>
        <v>10040000</v>
      </c>
      <c r="E40" s="155"/>
      <c r="F40" s="157"/>
      <c r="G40" s="151">
        <f t="shared" si="0"/>
        <v>0</v>
      </c>
      <c r="H40" s="151"/>
      <c r="I40" s="151"/>
      <c r="J40" s="151"/>
      <c r="K40" s="151"/>
      <c r="L40" s="157"/>
    </row>
    <row r="41" spans="1:12" ht="24">
      <c r="A41" s="94" t="s">
        <v>225</v>
      </c>
      <c r="B41" s="95" t="s">
        <v>226</v>
      </c>
      <c r="C41" s="95">
        <v>1</v>
      </c>
      <c r="D41" s="150"/>
      <c r="E41" s="157"/>
      <c r="F41" s="157"/>
      <c r="G41" s="151">
        <f t="shared" si="0"/>
        <v>0</v>
      </c>
      <c r="H41" s="151"/>
      <c r="I41" s="151"/>
      <c r="J41" s="151"/>
      <c r="K41" s="151"/>
      <c r="L41" s="157"/>
    </row>
    <row r="42" spans="1:12">
      <c r="A42" s="36" t="s">
        <v>227</v>
      </c>
      <c r="B42" s="17" t="s">
        <v>226</v>
      </c>
      <c r="C42" s="17">
        <v>1</v>
      </c>
      <c r="D42" s="150">
        <f>50000000*1.004</f>
        <v>50200000</v>
      </c>
      <c r="E42" s="157">
        <f>+D42</f>
        <v>50200000</v>
      </c>
      <c r="F42" s="157"/>
      <c r="G42" s="151">
        <f t="shared" si="0"/>
        <v>50200000</v>
      </c>
      <c r="H42" s="151"/>
      <c r="I42" s="151"/>
      <c r="J42" s="151"/>
      <c r="K42" s="151"/>
      <c r="L42" s="157"/>
    </row>
    <row r="43" spans="1:12" ht="36">
      <c r="A43" s="94" t="s">
        <v>98</v>
      </c>
      <c r="B43" s="95" t="s">
        <v>99</v>
      </c>
      <c r="C43" s="95">
        <v>100</v>
      </c>
      <c r="D43" s="155"/>
      <c r="E43" s="155"/>
      <c r="F43" s="10"/>
      <c r="G43" s="151">
        <f t="shared" si="0"/>
        <v>0</v>
      </c>
      <c r="H43" s="151"/>
      <c r="I43" s="151"/>
      <c r="J43" s="151"/>
      <c r="K43" s="151"/>
      <c r="L43" s="155"/>
    </row>
    <row r="44" spans="1:12" ht="38.25">
      <c r="A44" s="36" t="s">
        <v>228</v>
      </c>
      <c r="B44" s="162" t="s">
        <v>24</v>
      </c>
      <c r="C44" s="162">
        <v>1</v>
      </c>
      <c r="D44" s="150">
        <f>+E44</f>
        <v>4809201</v>
      </c>
      <c r="E44" s="150">
        <v>4809201</v>
      </c>
      <c r="F44" s="10"/>
      <c r="G44" s="151">
        <f t="shared" si="0"/>
        <v>4809201</v>
      </c>
      <c r="H44" s="151"/>
      <c r="I44" s="151"/>
      <c r="J44" s="151"/>
      <c r="K44" s="151"/>
      <c r="L44" s="155"/>
    </row>
    <row r="45" spans="1:12" ht="25.5">
      <c r="A45" s="149" t="s">
        <v>229</v>
      </c>
      <c r="B45" s="162" t="s">
        <v>24</v>
      </c>
      <c r="C45" s="162">
        <v>1</v>
      </c>
      <c r="D45" s="150">
        <f>+E45</f>
        <v>1506000</v>
      </c>
      <c r="E45" s="150">
        <f>1500000*1.004</f>
        <v>1506000</v>
      </c>
      <c r="F45" s="10"/>
      <c r="G45" s="151">
        <f t="shared" si="0"/>
        <v>1506000</v>
      </c>
      <c r="H45" s="151"/>
      <c r="I45" s="151"/>
      <c r="J45" s="151"/>
      <c r="K45" s="151"/>
      <c r="L45" s="155"/>
    </row>
    <row r="46" spans="1:12" ht="140.25">
      <c r="A46" s="149" t="s">
        <v>230</v>
      </c>
      <c r="B46" s="162" t="s">
        <v>24</v>
      </c>
      <c r="C46" s="162">
        <v>1</v>
      </c>
      <c r="D46" s="150">
        <f>+E46</f>
        <v>2008000</v>
      </c>
      <c r="E46" s="150">
        <f>2000000*1.004</f>
        <v>2008000</v>
      </c>
      <c r="F46" s="10"/>
      <c r="G46" s="151">
        <f t="shared" si="0"/>
        <v>2008000</v>
      </c>
      <c r="H46" s="151"/>
      <c r="I46" s="151"/>
      <c r="J46" s="151"/>
      <c r="K46" s="151"/>
      <c r="L46" s="155"/>
    </row>
    <row r="47" spans="1:12">
      <c r="A47" s="94"/>
      <c r="B47" s="95"/>
      <c r="C47" s="95"/>
      <c r="D47" s="155"/>
      <c r="E47" s="155"/>
      <c r="F47" s="10"/>
      <c r="G47" s="155"/>
      <c r="H47" s="155"/>
      <c r="I47" s="155"/>
      <c r="J47" s="155"/>
      <c r="K47" s="155"/>
      <c r="L47" s="155"/>
    </row>
    <row r="48" spans="1:12">
      <c r="A48" s="94"/>
      <c r="B48" s="95"/>
      <c r="C48" s="95"/>
      <c r="D48" s="155"/>
      <c r="E48" s="155"/>
      <c r="F48" s="10"/>
      <c r="G48" s="155"/>
      <c r="H48" s="155"/>
      <c r="I48" s="155"/>
      <c r="J48" s="155"/>
      <c r="K48" s="155"/>
      <c r="L48" s="155"/>
    </row>
    <row r="49" spans="1:12">
      <c r="A49" s="279" t="s">
        <v>37</v>
      </c>
      <c r="B49" s="279"/>
      <c r="C49" s="279"/>
      <c r="D49" s="279"/>
      <c r="E49" s="163">
        <f>SUM(E8:E46)</f>
        <v>1400000000</v>
      </c>
      <c r="F49" s="164">
        <f>+'FUENTES Y USOS'!M19</f>
        <v>0</v>
      </c>
      <c r="G49" s="163">
        <f>SUM(G7:G46)</f>
        <v>1400000000</v>
      </c>
      <c r="H49" s="163"/>
      <c r="I49" s="163"/>
      <c r="J49" s="163"/>
      <c r="K49" s="163"/>
      <c r="L49" s="163">
        <f>SUM(L32:L43)</f>
        <v>0</v>
      </c>
    </row>
    <row r="50" spans="1:12">
      <c r="A50" s="280" t="s">
        <v>38</v>
      </c>
      <c r="B50" s="280"/>
      <c r="C50" s="280"/>
      <c r="D50" s="280"/>
      <c r="E50" s="165">
        <f>+'FUENTES Y USOS'!S19</f>
        <v>1400000000</v>
      </c>
      <c r="F50" s="166">
        <f>+'FUENTES Y USOS'!M19</f>
        <v>0</v>
      </c>
      <c r="G50" s="166">
        <f>+'FUENTES Y USOS'!N19</f>
        <v>1400000000</v>
      </c>
      <c r="H50" s="166"/>
      <c r="I50" s="166"/>
      <c r="J50" s="166"/>
      <c r="K50" s="166"/>
      <c r="L50" s="166">
        <f>+'FUENTES Y USOS'!O19</f>
        <v>0</v>
      </c>
    </row>
    <row r="51" spans="1:12">
      <c r="A51" s="279" t="s">
        <v>39</v>
      </c>
      <c r="B51" s="279"/>
      <c r="C51" s="279"/>
      <c r="D51" s="279"/>
      <c r="E51" s="209">
        <f>+E50-E49</f>
        <v>0</v>
      </c>
      <c r="F51" s="209">
        <f t="shared" ref="F51:L51" si="1">+F50-F49</f>
        <v>0</v>
      </c>
      <c r="G51" s="209">
        <f t="shared" si="1"/>
        <v>0</v>
      </c>
      <c r="H51" s="209"/>
      <c r="I51" s="209"/>
      <c r="J51" s="209"/>
      <c r="K51" s="209"/>
      <c r="L51" s="209">
        <f t="shared" si="1"/>
        <v>0</v>
      </c>
    </row>
    <row r="54" spans="1:12">
      <c r="A54" s="85"/>
      <c r="B54" s="292" t="s">
        <v>40</v>
      </c>
      <c r="C54" s="292"/>
      <c r="D54" s="292"/>
      <c r="E54" s="292"/>
    </row>
    <row r="55" spans="1:12">
      <c r="A55" s="86"/>
      <c r="B55" s="292" t="s">
        <v>42</v>
      </c>
      <c r="C55" s="292"/>
      <c r="D55" s="292"/>
      <c r="E55" s="292"/>
    </row>
    <row r="56" spans="1:12">
      <c r="A56" s="192"/>
      <c r="B56" s="192"/>
      <c r="C56" s="192"/>
      <c r="D56" s="192"/>
      <c r="E56" s="192"/>
    </row>
  </sheetData>
  <mergeCells count="16">
    <mergeCell ref="B54:E54"/>
    <mergeCell ref="B55:E55"/>
    <mergeCell ref="B1:J3"/>
    <mergeCell ref="K1:L1"/>
    <mergeCell ref="K2:L2"/>
    <mergeCell ref="K3:L3"/>
    <mergeCell ref="A49:D49"/>
    <mergeCell ref="A50:D50"/>
    <mergeCell ref="A51:D51"/>
    <mergeCell ref="A4:L4"/>
    <mergeCell ref="A5:A6"/>
    <mergeCell ref="B5:B6"/>
    <mergeCell ref="C5:C6"/>
    <mergeCell ref="D5:D6"/>
    <mergeCell ref="E5:E6"/>
    <mergeCell ref="F5:L5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="110" zoomScaleNormal="11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C10" sqref="C10"/>
    </sheetView>
  </sheetViews>
  <sheetFormatPr baseColWidth="10" defaultRowHeight="12"/>
  <cols>
    <col min="1" max="1" width="33.140625" style="89" customWidth="1"/>
    <col min="2" max="2" width="16.28515625" style="89" customWidth="1"/>
    <col min="3" max="3" width="17.5703125" style="89" customWidth="1"/>
    <col min="4" max="4" width="14.5703125" style="89" customWidth="1"/>
    <col min="5" max="5" width="17.5703125" style="89" customWidth="1"/>
    <col min="6" max="6" width="14.7109375" style="89" customWidth="1"/>
    <col min="7" max="7" width="16.140625" style="89" customWidth="1"/>
    <col min="8" max="8" width="14" style="89" customWidth="1"/>
    <col min="9" max="11" width="11.42578125" style="89" customWidth="1"/>
    <col min="12" max="12" width="16.42578125" style="89" customWidth="1"/>
    <col min="13" max="256" width="11.42578125" style="89"/>
    <col min="257" max="257" width="29" style="89" customWidth="1"/>
    <col min="258" max="259" width="11.42578125" style="89" customWidth="1"/>
    <col min="260" max="260" width="14.5703125" style="89" customWidth="1"/>
    <col min="261" max="261" width="17.5703125" style="89" customWidth="1"/>
    <col min="262" max="262" width="14.7109375" style="89" customWidth="1"/>
    <col min="263" max="263" width="16.140625" style="89" customWidth="1"/>
    <col min="264" max="268" width="0" style="89" hidden="1" customWidth="1"/>
    <col min="269" max="512" width="11.42578125" style="89"/>
    <col min="513" max="513" width="29" style="89" customWidth="1"/>
    <col min="514" max="515" width="11.42578125" style="89" customWidth="1"/>
    <col min="516" max="516" width="14.5703125" style="89" customWidth="1"/>
    <col min="517" max="517" width="17.5703125" style="89" customWidth="1"/>
    <col min="518" max="518" width="14.7109375" style="89" customWidth="1"/>
    <col min="519" max="519" width="16.140625" style="89" customWidth="1"/>
    <col min="520" max="524" width="0" style="89" hidden="1" customWidth="1"/>
    <col min="525" max="768" width="11.42578125" style="89"/>
    <col min="769" max="769" width="29" style="89" customWidth="1"/>
    <col min="770" max="771" width="11.42578125" style="89" customWidth="1"/>
    <col min="772" max="772" width="14.5703125" style="89" customWidth="1"/>
    <col min="773" max="773" width="17.5703125" style="89" customWidth="1"/>
    <col min="774" max="774" width="14.7109375" style="89" customWidth="1"/>
    <col min="775" max="775" width="16.140625" style="89" customWidth="1"/>
    <col min="776" max="780" width="0" style="89" hidden="1" customWidth="1"/>
    <col min="781" max="1024" width="11.42578125" style="89"/>
    <col min="1025" max="1025" width="29" style="89" customWidth="1"/>
    <col min="1026" max="1027" width="11.42578125" style="89" customWidth="1"/>
    <col min="1028" max="1028" width="14.5703125" style="89" customWidth="1"/>
    <col min="1029" max="1029" width="17.5703125" style="89" customWidth="1"/>
    <col min="1030" max="1030" width="14.7109375" style="89" customWidth="1"/>
    <col min="1031" max="1031" width="16.140625" style="89" customWidth="1"/>
    <col min="1032" max="1036" width="0" style="89" hidden="1" customWidth="1"/>
    <col min="1037" max="1280" width="11.42578125" style="89"/>
    <col min="1281" max="1281" width="29" style="89" customWidth="1"/>
    <col min="1282" max="1283" width="11.42578125" style="89" customWidth="1"/>
    <col min="1284" max="1284" width="14.5703125" style="89" customWidth="1"/>
    <col min="1285" max="1285" width="17.5703125" style="89" customWidth="1"/>
    <col min="1286" max="1286" width="14.7109375" style="89" customWidth="1"/>
    <col min="1287" max="1287" width="16.140625" style="89" customWidth="1"/>
    <col min="1288" max="1292" width="0" style="89" hidden="1" customWidth="1"/>
    <col min="1293" max="1536" width="11.42578125" style="89"/>
    <col min="1537" max="1537" width="29" style="89" customWidth="1"/>
    <col min="1538" max="1539" width="11.42578125" style="89" customWidth="1"/>
    <col min="1540" max="1540" width="14.5703125" style="89" customWidth="1"/>
    <col min="1541" max="1541" width="17.5703125" style="89" customWidth="1"/>
    <col min="1542" max="1542" width="14.7109375" style="89" customWidth="1"/>
    <col min="1543" max="1543" width="16.140625" style="89" customWidth="1"/>
    <col min="1544" max="1548" width="0" style="89" hidden="1" customWidth="1"/>
    <col min="1549" max="1792" width="11.42578125" style="89"/>
    <col min="1793" max="1793" width="29" style="89" customWidth="1"/>
    <col min="1794" max="1795" width="11.42578125" style="89" customWidth="1"/>
    <col min="1796" max="1796" width="14.5703125" style="89" customWidth="1"/>
    <col min="1797" max="1797" width="17.5703125" style="89" customWidth="1"/>
    <col min="1798" max="1798" width="14.7109375" style="89" customWidth="1"/>
    <col min="1799" max="1799" width="16.140625" style="89" customWidth="1"/>
    <col min="1800" max="1804" width="0" style="89" hidden="1" customWidth="1"/>
    <col min="1805" max="2048" width="11.42578125" style="89"/>
    <col min="2049" max="2049" width="29" style="89" customWidth="1"/>
    <col min="2050" max="2051" width="11.42578125" style="89" customWidth="1"/>
    <col min="2052" max="2052" width="14.5703125" style="89" customWidth="1"/>
    <col min="2053" max="2053" width="17.5703125" style="89" customWidth="1"/>
    <col min="2054" max="2054" width="14.7109375" style="89" customWidth="1"/>
    <col min="2055" max="2055" width="16.140625" style="89" customWidth="1"/>
    <col min="2056" max="2060" width="0" style="89" hidden="1" customWidth="1"/>
    <col min="2061" max="2304" width="11.42578125" style="89"/>
    <col min="2305" max="2305" width="29" style="89" customWidth="1"/>
    <col min="2306" max="2307" width="11.42578125" style="89" customWidth="1"/>
    <col min="2308" max="2308" width="14.5703125" style="89" customWidth="1"/>
    <col min="2309" max="2309" width="17.5703125" style="89" customWidth="1"/>
    <col min="2310" max="2310" width="14.7109375" style="89" customWidth="1"/>
    <col min="2311" max="2311" width="16.140625" style="89" customWidth="1"/>
    <col min="2312" max="2316" width="0" style="89" hidden="1" customWidth="1"/>
    <col min="2317" max="2560" width="11.42578125" style="89"/>
    <col min="2561" max="2561" width="29" style="89" customWidth="1"/>
    <col min="2562" max="2563" width="11.42578125" style="89" customWidth="1"/>
    <col min="2564" max="2564" width="14.5703125" style="89" customWidth="1"/>
    <col min="2565" max="2565" width="17.5703125" style="89" customWidth="1"/>
    <col min="2566" max="2566" width="14.7109375" style="89" customWidth="1"/>
    <col min="2567" max="2567" width="16.140625" style="89" customWidth="1"/>
    <col min="2568" max="2572" width="0" style="89" hidden="1" customWidth="1"/>
    <col min="2573" max="2816" width="11.42578125" style="89"/>
    <col min="2817" max="2817" width="29" style="89" customWidth="1"/>
    <col min="2818" max="2819" width="11.42578125" style="89" customWidth="1"/>
    <col min="2820" max="2820" width="14.5703125" style="89" customWidth="1"/>
    <col min="2821" max="2821" width="17.5703125" style="89" customWidth="1"/>
    <col min="2822" max="2822" width="14.7109375" style="89" customWidth="1"/>
    <col min="2823" max="2823" width="16.140625" style="89" customWidth="1"/>
    <col min="2824" max="2828" width="0" style="89" hidden="1" customWidth="1"/>
    <col min="2829" max="3072" width="11.42578125" style="89"/>
    <col min="3073" max="3073" width="29" style="89" customWidth="1"/>
    <col min="3074" max="3075" width="11.42578125" style="89" customWidth="1"/>
    <col min="3076" max="3076" width="14.5703125" style="89" customWidth="1"/>
    <col min="3077" max="3077" width="17.5703125" style="89" customWidth="1"/>
    <col min="3078" max="3078" width="14.7109375" style="89" customWidth="1"/>
    <col min="3079" max="3079" width="16.140625" style="89" customWidth="1"/>
    <col min="3080" max="3084" width="0" style="89" hidden="1" customWidth="1"/>
    <col min="3085" max="3328" width="11.42578125" style="89"/>
    <col min="3329" max="3329" width="29" style="89" customWidth="1"/>
    <col min="3330" max="3331" width="11.42578125" style="89" customWidth="1"/>
    <col min="3332" max="3332" width="14.5703125" style="89" customWidth="1"/>
    <col min="3333" max="3333" width="17.5703125" style="89" customWidth="1"/>
    <col min="3334" max="3334" width="14.7109375" style="89" customWidth="1"/>
    <col min="3335" max="3335" width="16.140625" style="89" customWidth="1"/>
    <col min="3336" max="3340" width="0" style="89" hidden="1" customWidth="1"/>
    <col min="3341" max="3584" width="11.42578125" style="89"/>
    <col min="3585" max="3585" width="29" style="89" customWidth="1"/>
    <col min="3586" max="3587" width="11.42578125" style="89" customWidth="1"/>
    <col min="3588" max="3588" width="14.5703125" style="89" customWidth="1"/>
    <col min="3589" max="3589" width="17.5703125" style="89" customWidth="1"/>
    <col min="3590" max="3590" width="14.7109375" style="89" customWidth="1"/>
    <col min="3591" max="3591" width="16.140625" style="89" customWidth="1"/>
    <col min="3592" max="3596" width="0" style="89" hidden="1" customWidth="1"/>
    <col min="3597" max="3840" width="11.42578125" style="89"/>
    <col min="3841" max="3841" width="29" style="89" customWidth="1"/>
    <col min="3842" max="3843" width="11.42578125" style="89" customWidth="1"/>
    <col min="3844" max="3844" width="14.5703125" style="89" customWidth="1"/>
    <col min="3845" max="3845" width="17.5703125" style="89" customWidth="1"/>
    <col min="3846" max="3846" width="14.7109375" style="89" customWidth="1"/>
    <col min="3847" max="3847" width="16.140625" style="89" customWidth="1"/>
    <col min="3848" max="3852" width="0" style="89" hidden="1" customWidth="1"/>
    <col min="3853" max="4096" width="11.42578125" style="89"/>
    <col min="4097" max="4097" width="29" style="89" customWidth="1"/>
    <col min="4098" max="4099" width="11.42578125" style="89" customWidth="1"/>
    <col min="4100" max="4100" width="14.5703125" style="89" customWidth="1"/>
    <col min="4101" max="4101" width="17.5703125" style="89" customWidth="1"/>
    <col min="4102" max="4102" width="14.7109375" style="89" customWidth="1"/>
    <col min="4103" max="4103" width="16.140625" style="89" customWidth="1"/>
    <col min="4104" max="4108" width="0" style="89" hidden="1" customWidth="1"/>
    <col min="4109" max="4352" width="11.42578125" style="89"/>
    <col min="4353" max="4353" width="29" style="89" customWidth="1"/>
    <col min="4354" max="4355" width="11.42578125" style="89" customWidth="1"/>
    <col min="4356" max="4356" width="14.5703125" style="89" customWidth="1"/>
    <col min="4357" max="4357" width="17.5703125" style="89" customWidth="1"/>
    <col min="4358" max="4358" width="14.7109375" style="89" customWidth="1"/>
    <col min="4359" max="4359" width="16.140625" style="89" customWidth="1"/>
    <col min="4360" max="4364" width="0" style="89" hidden="1" customWidth="1"/>
    <col min="4365" max="4608" width="11.42578125" style="89"/>
    <col min="4609" max="4609" width="29" style="89" customWidth="1"/>
    <col min="4610" max="4611" width="11.42578125" style="89" customWidth="1"/>
    <col min="4612" max="4612" width="14.5703125" style="89" customWidth="1"/>
    <col min="4613" max="4613" width="17.5703125" style="89" customWidth="1"/>
    <col min="4614" max="4614" width="14.7109375" style="89" customWidth="1"/>
    <col min="4615" max="4615" width="16.140625" style="89" customWidth="1"/>
    <col min="4616" max="4620" width="0" style="89" hidden="1" customWidth="1"/>
    <col min="4621" max="4864" width="11.42578125" style="89"/>
    <col min="4865" max="4865" width="29" style="89" customWidth="1"/>
    <col min="4866" max="4867" width="11.42578125" style="89" customWidth="1"/>
    <col min="4868" max="4868" width="14.5703125" style="89" customWidth="1"/>
    <col min="4869" max="4869" width="17.5703125" style="89" customWidth="1"/>
    <col min="4870" max="4870" width="14.7109375" style="89" customWidth="1"/>
    <col min="4871" max="4871" width="16.140625" style="89" customWidth="1"/>
    <col min="4872" max="4876" width="0" style="89" hidden="1" customWidth="1"/>
    <col min="4877" max="5120" width="11.42578125" style="89"/>
    <col min="5121" max="5121" width="29" style="89" customWidth="1"/>
    <col min="5122" max="5123" width="11.42578125" style="89" customWidth="1"/>
    <col min="5124" max="5124" width="14.5703125" style="89" customWidth="1"/>
    <col min="5125" max="5125" width="17.5703125" style="89" customWidth="1"/>
    <col min="5126" max="5126" width="14.7109375" style="89" customWidth="1"/>
    <col min="5127" max="5127" width="16.140625" style="89" customWidth="1"/>
    <col min="5128" max="5132" width="0" style="89" hidden="1" customWidth="1"/>
    <col min="5133" max="5376" width="11.42578125" style="89"/>
    <col min="5377" max="5377" width="29" style="89" customWidth="1"/>
    <col min="5378" max="5379" width="11.42578125" style="89" customWidth="1"/>
    <col min="5380" max="5380" width="14.5703125" style="89" customWidth="1"/>
    <col min="5381" max="5381" width="17.5703125" style="89" customWidth="1"/>
    <col min="5382" max="5382" width="14.7109375" style="89" customWidth="1"/>
    <col min="5383" max="5383" width="16.140625" style="89" customWidth="1"/>
    <col min="5384" max="5388" width="0" style="89" hidden="1" customWidth="1"/>
    <col min="5389" max="5632" width="11.42578125" style="89"/>
    <col min="5633" max="5633" width="29" style="89" customWidth="1"/>
    <col min="5634" max="5635" width="11.42578125" style="89" customWidth="1"/>
    <col min="5636" max="5636" width="14.5703125" style="89" customWidth="1"/>
    <col min="5637" max="5637" width="17.5703125" style="89" customWidth="1"/>
    <col min="5638" max="5638" width="14.7109375" style="89" customWidth="1"/>
    <col min="5639" max="5639" width="16.140625" style="89" customWidth="1"/>
    <col min="5640" max="5644" width="0" style="89" hidden="1" customWidth="1"/>
    <col min="5645" max="5888" width="11.42578125" style="89"/>
    <col min="5889" max="5889" width="29" style="89" customWidth="1"/>
    <col min="5890" max="5891" width="11.42578125" style="89" customWidth="1"/>
    <col min="5892" max="5892" width="14.5703125" style="89" customWidth="1"/>
    <col min="5893" max="5893" width="17.5703125" style="89" customWidth="1"/>
    <col min="5894" max="5894" width="14.7109375" style="89" customWidth="1"/>
    <col min="5895" max="5895" width="16.140625" style="89" customWidth="1"/>
    <col min="5896" max="5900" width="0" style="89" hidden="1" customWidth="1"/>
    <col min="5901" max="6144" width="11.42578125" style="89"/>
    <col min="6145" max="6145" width="29" style="89" customWidth="1"/>
    <col min="6146" max="6147" width="11.42578125" style="89" customWidth="1"/>
    <col min="6148" max="6148" width="14.5703125" style="89" customWidth="1"/>
    <col min="6149" max="6149" width="17.5703125" style="89" customWidth="1"/>
    <col min="6150" max="6150" width="14.7109375" style="89" customWidth="1"/>
    <col min="6151" max="6151" width="16.140625" style="89" customWidth="1"/>
    <col min="6152" max="6156" width="0" style="89" hidden="1" customWidth="1"/>
    <col min="6157" max="6400" width="11.42578125" style="89"/>
    <col min="6401" max="6401" width="29" style="89" customWidth="1"/>
    <col min="6402" max="6403" width="11.42578125" style="89" customWidth="1"/>
    <col min="6404" max="6404" width="14.5703125" style="89" customWidth="1"/>
    <col min="6405" max="6405" width="17.5703125" style="89" customWidth="1"/>
    <col min="6406" max="6406" width="14.7109375" style="89" customWidth="1"/>
    <col min="6407" max="6407" width="16.140625" style="89" customWidth="1"/>
    <col min="6408" max="6412" width="0" style="89" hidden="1" customWidth="1"/>
    <col min="6413" max="6656" width="11.42578125" style="89"/>
    <col min="6657" max="6657" width="29" style="89" customWidth="1"/>
    <col min="6658" max="6659" width="11.42578125" style="89" customWidth="1"/>
    <col min="6660" max="6660" width="14.5703125" style="89" customWidth="1"/>
    <col min="6661" max="6661" width="17.5703125" style="89" customWidth="1"/>
    <col min="6662" max="6662" width="14.7109375" style="89" customWidth="1"/>
    <col min="6663" max="6663" width="16.140625" style="89" customWidth="1"/>
    <col min="6664" max="6668" width="0" style="89" hidden="1" customWidth="1"/>
    <col min="6669" max="6912" width="11.42578125" style="89"/>
    <col min="6913" max="6913" width="29" style="89" customWidth="1"/>
    <col min="6914" max="6915" width="11.42578125" style="89" customWidth="1"/>
    <col min="6916" max="6916" width="14.5703125" style="89" customWidth="1"/>
    <col min="6917" max="6917" width="17.5703125" style="89" customWidth="1"/>
    <col min="6918" max="6918" width="14.7109375" style="89" customWidth="1"/>
    <col min="6919" max="6919" width="16.140625" style="89" customWidth="1"/>
    <col min="6920" max="6924" width="0" style="89" hidden="1" customWidth="1"/>
    <col min="6925" max="7168" width="11.42578125" style="89"/>
    <col min="7169" max="7169" width="29" style="89" customWidth="1"/>
    <col min="7170" max="7171" width="11.42578125" style="89" customWidth="1"/>
    <col min="7172" max="7172" width="14.5703125" style="89" customWidth="1"/>
    <col min="7173" max="7173" width="17.5703125" style="89" customWidth="1"/>
    <col min="7174" max="7174" width="14.7109375" style="89" customWidth="1"/>
    <col min="7175" max="7175" width="16.140625" style="89" customWidth="1"/>
    <col min="7176" max="7180" width="0" style="89" hidden="1" customWidth="1"/>
    <col min="7181" max="7424" width="11.42578125" style="89"/>
    <col min="7425" max="7425" width="29" style="89" customWidth="1"/>
    <col min="7426" max="7427" width="11.42578125" style="89" customWidth="1"/>
    <col min="7428" max="7428" width="14.5703125" style="89" customWidth="1"/>
    <col min="7429" max="7429" width="17.5703125" style="89" customWidth="1"/>
    <col min="7430" max="7430" width="14.7109375" style="89" customWidth="1"/>
    <col min="7431" max="7431" width="16.140625" style="89" customWidth="1"/>
    <col min="7432" max="7436" width="0" style="89" hidden="1" customWidth="1"/>
    <col min="7437" max="7680" width="11.42578125" style="89"/>
    <col min="7681" max="7681" width="29" style="89" customWidth="1"/>
    <col min="7682" max="7683" width="11.42578125" style="89" customWidth="1"/>
    <col min="7684" max="7684" width="14.5703125" style="89" customWidth="1"/>
    <col min="7685" max="7685" width="17.5703125" style="89" customWidth="1"/>
    <col min="7686" max="7686" width="14.7109375" style="89" customWidth="1"/>
    <col min="7687" max="7687" width="16.140625" style="89" customWidth="1"/>
    <col min="7688" max="7692" width="0" style="89" hidden="1" customWidth="1"/>
    <col min="7693" max="7936" width="11.42578125" style="89"/>
    <col min="7937" max="7937" width="29" style="89" customWidth="1"/>
    <col min="7938" max="7939" width="11.42578125" style="89" customWidth="1"/>
    <col min="7940" max="7940" width="14.5703125" style="89" customWidth="1"/>
    <col min="7941" max="7941" width="17.5703125" style="89" customWidth="1"/>
    <col min="7942" max="7942" width="14.7109375" style="89" customWidth="1"/>
    <col min="7943" max="7943" width="16.140625" style="89" customWidth="1"/>
    <col min="7944" max="7948" width="0" style="89" hidden="1" customWidth="1"/>
    <col min="7949" max="8192" width="11.42578125" style="89"/>
    <col min="8193" max="8193" width="29" style="89" customWidth="1"/>
    <col min="8194" max="8195" width="11.42578125" style="89" customWidth="1"/>
    <col min="8196" max="8196" width="14.5703125" style="89" customWidth="1"/>
    <col min="8197" max="8197" width="17.5703125" style="89" customWidth="1"/>
    <col min="8198" max="8198" width="14.7109375" style="89" customWidth="1"/>
    <col min="8199" max="8199" width="16.140625" style="89" customWidth="1"/>
    <col min="8200" max="8204" width="0" style="89" hidden="1" customWidth="1"/>
    <col min="8205" max="8448" width="11.42578125" style="89"/>
    <col min="8449" max="8449" width="29" style="89" customWidth="1"/>
    <col min="8450" max="8451" width="11.42578125" style="89" customWidth="1"/>
    <col min="8452" max="8452" width="14.5703125" style="89" customWidth="1"/>
    <col min="8453" max="8453" width="17.5703125" style="89" customWidth="1"/>
    <col min="8454" max="8454" width="14.7109375" style="89" customWidth="1"/>
    <col min="8455" max="8455" width="16.140625" style="89" customWidth="1"/>
    <col min="8456" max="8460" width="0" style="89" hidden="1" customWidth="1"/>
    <col min="8461" max="8704" width="11.42578125" style="89"/>
    <col min="8705" max="8705" width="29" style="89" customWidth="1"/>
    <col min="8706" max="8707" width="11.42578125" style="89" customWidth="1"/>
    <col min="8708" max="8708" width="14.5703125" style="89" customWidth="1"/>
    <col min="8709" max="8709" width="17.5703125" style="89" customWidth="1"/>
    <col min="8710" max="8710" width="14.7109375" style="89" customWidth="1"/>
    <col min="8711" max="8711" width="16.140625" style="89" customWidth="1"/>
    <col min="8712" max="8716" width="0" style="89" hidden="1" customWidth="1"/>
    <col min="8717" max="8960" width="11.42578125" style="89"/>
    <col min="8961" max="8961" width="29" style="89" customWidth="1"/>
    <col min="8962" max="8963" width="11.42578125" style="89" customWidth="1"/>
    <col min="8964" max="8964" width="14.5703125" style="89" customWidth="1"/>
    <col min="8965" max="8965" width="17.5703125" style="89" customWidth="1"/>
    <col min="8966" max="8966" width="14.7109375" style="89" customWidth="1"/>
    <col min="8967" max="8967" width="16.140625" style="89" customWidth="1"/>
    <col min="8968" max="8972" width="0" style="89" hidden="1" customWidth="1"/>
    <col min="8973" max="9216" width="11.42578125" style="89"/>
    <col min="9217" max="9217" width="29" style="89" customWidth="1"/>
    <col min="9218" max="9219" width="11.42578125" style="89" customWidth="1"/>
    <col min="9220" max="9220" width="14.5703125" style="89" customWidth="1"/>
    <col min="9221" max="9221" width="17.5703125" style="89" customWidth="1"/>
    <col min="9222" max="9222" width="14.7109375" style="89" customWidth="1"/>
    <col min="9223" max="9223" width="16.140625" style="89" customWidth="1"/>
    <col min="9224" max="9228" width="0" style="89" hidden="1" customWidth="1"/>
    <col min="9229" max="9472" width="11.42578125" style="89"/>
    <col min="9473" max="9473" width="29" style="89" customWidth="1"/>
    <col min="9474" max="9475" width="11.42578125" style="89" customWidth="1"/>
    <col min="9476" max="9476" width="14.5703125" style="89" customWidth="1"/>
    <col min="9477" max="9477" width="17.5703125" style="89" customWidth="1"/>
    <col min="9478" max="9478" width="14.7109375" style="89" customWidth="1"/>
    <col min="9479" max="9479" width="16.140625" style="89" customWidth="1"/>
    <col min="9480" max="9484" width="0" style="89" hidden="1" customWidth="1"/>
    <col min="9485" max="9728" width="11.42578125" style="89"/>
    <col min="9729" max="9729" width="29" style="89" customWidth="1"/>
    <col min="9730" max="9731" width="11.42578125" style="89" customWidth="1"/>
    <col min="9732" max="9732" width="14.5703125" style="89" customWidth="1"/>
    <col min="9733" max="9733" width="17.5703125" style="89" customWidth="1"/>
    <col min="9734" max="9734" width="14.7109375" style="89" customWidth="1"/>
    <col min="9735" max="9735" width="16.140625" style="89" customWidth="1"/>
    <col min="9736" max="9740" width="0" style="89" hidden="1" customWidth="1"/>
    <col min="9741" max="9984" width="11.42578125" style="89"/>
    <col min="9985" max="9985" width="29" style="89" customWidth="1"/>
    <col min="9986" max="9987" width="11.42578125" style="89" customWidth="1"/>
    <col min="9988" max="9988" width="14.5703125" style="89" customWidth="1"/>
    <col min="9989" max="9989" width="17.5703125" style="89" customWidth="1"/>
    <col min="9990" max="9990" width="14.7109375" style="89" customWidth="1"/>
    <col min="9991" max="9991" width="16.140625" style="89" customWidth="1"/>
    <col min="9992" max="9996" width="0" style="89" hidden="1" customWidth="1"/>
    <col min="9997" max="10240" width="11.42578125" style="89"/>
    <col min="10241" max="10241" width="29" style="89" customWidth="1"/>
    <col min="10242" max="10243" width="11.42578125" style="89" customWidth="1"/>
    <col min="10244" max="10244" width="14.5703125" style="89" customWidth="1"/>
    <col min="10245" max="10245" width="17.5703125" style="89" customWidth="1"/>
    <col min="10246" max="10246" width="14.7109375" style="89" customWidth="1"/>
    <col min="10247" max="10247" width="16.140625" style="89" customWidth="1"/>
    <col min="10248" max="10252" width="0" style="89" hidden="1" customWidth="1"/>
    <col min="10253" max="10496" width="11.42578125" style="89"/>
    <col min="10497" max="10497" width="29" style="89" customWidth="1"/>
    <col min="10498" max="10499" width="11.42578125" style="89" customWidth="1"/>
    <col min="10500" max="10500" width="14.5703125" style="89" customWidth="1"/>
    <col min="10501" max="10501" width="17.5703125" style="89" customWidth="1"/>
    <col min="10502" max="10502" width="14.7109375" style="89" customWidth="1"/>
    <col min="10503" max="10503" width="16.140625" style="89" customWidth="1"/>
    <col min="10504" max="10508" width="0" style="89" hidden="1" customWidth="1"/>
    <col min="10509" max="10752" width="11.42578125" style="89"/>
    <col min="10753" max="10753" width="29" style="89" customWidth="1"/>
    <col min="10754" max="10755" width="11.42578125" style="89" customWidth="1"/>
    <col min="10756" max="10756" width="14.5703125" style="89" customWidth="1"/>
    <col min="10757" max="10757" width="17.5703125" style="89" customWidth="1"/>
    <col min="10758" max="10758" width="14.7109375" style="89" customWidth="1"/>
    <col min="10759" max="10759" width="16.140625" style="89" customWidth="1"/>
    <col min="10760" max="10764" width="0" style="89" hidden="1" customWidth="1"/>
    <col min="10765" max="11008" width="11.42578125" style="89"/>
    <col min="11009" max="11009" width="29" style="89" customWidth="1"/>
    <col min="11010" max="11011" width="11.42578125" style="89" customWidth="1"/>
    <col min="11012" max="11012" width="14.5703125" style="89" customWidth="1"/>
    <col min="11013" max="11013" width="17.5703125" style="89" customWidth="1"/>
    <col min="11014" max="11014" width="14.7109375" style="89" customWidth="1"/>
    <col min="11015" max="11015" width="16.140625" style="89" customWidth="1"/>
    <col min="11016" max="11020" width="0" style="89" hidden="1" customWidth="1"/>
    <col min="11021" max="11264" width="11.42578125" style="89"/>
    <col min="11265" max="11265" width="29" style="89" customWidth="1"/>
    <col min="11266" max="11267" width="11.42578125" style="89" customWidth="1"/>
    <col min="11268" max="11268" width="14.5703125" style="89" customWidth="1"/>
    <col min="11269" max="11269" width="17.5703125" style="89" customWidth="1"/>
    <col min="11270" max="11270" width="14.7109375" style="89" customWidth="1"/>
    <col min="11271" max="11271" width="16.140625" style="89" customWidth="1"/>
    <col min="11272" max="11276" width="0" style="89" hidden="1" customWidth="1"/>
    <col min="11277" max="11520" width="11.42578125" style="89"/>
    <col min="11521" max="11521" width="29" style="89" customWidth="1"/>
    <col min="11522" max="11523" width="11.42578125" style="89" customWidth="1"/>
    <col min="11524" max="11524" width="14.5703125" style="89" customWidth="1"/>
    <col min="11525" max="11525" width="17.5703125" style="89" customWidth="1"/>
    <col min="11526" max="11526" width="14.7109375" style="89" customWidth="1"/>
    <col min="11527" max="11527" width="16.140625" style="89" customWidth="1"/>
    <col min="11528" max="11532" width="0" style="89" hidden="1" customWidth="1"/>
    <col min="11533" max="11776" width="11.42578125" style="89"/>
    <col min="11777" max="11777" width="29" style="89" customWidth="1"/>
    <col min="11778" max="11779" width="11.42578125" style="89" customWidth="1"/>
    <col min="11780" max="11780" width="14.5703125" style="89" customWidth="1"/>
    <col min="11781" max="11781" width="17.5703125" style="89" customWidth="1"/>
    <col min="11782" max="11782" width="14.7109375" style="89" customWidth="1"/>
    <col min="11783" max="11783" width="16.140625" style="89" customWidth="1"/>
    <col min="11784" max="11788" width="0" style="89" hidden="1" customWidth="1"/>
    <col min="11789" max="12032" width="11.42578125" style="89"/>
    <col min="12033" max="12033" width="29" style="89" customWidth="1"/>
    <col min="12034" max="12035" width="11.42578125" style="89" customWidth="1"/>
    <col min="12036" max="12036" width="14.5703125" style="89" customWidth="1"/>
    <col min="12037" max="12037" width="17.5703125" style="89" customWidth="1"/>
    <col min="12038" max="12038" width="14.7109375" style="89" customWidth="1"/>
    <col min="12039" max="12039" width="16.140625" style="89" customWidth="1"/>
    <col min="12040" max="12044" width="0" style="89" hidden="1" customWidth="1"/>
    <col min="12045" max="12288" width="11.42578125" style="89"/>
    <col min="12289" max="12289" width="29" style="89" customWidth="1"/>
    <col min="12290" max="12291" width="11.42578125" style="89" customWidth="1"/>
    <col min="12292" max="12292" width="14.5703125" style="89" customWidth="1"/>
    <col min="12293" max="12293" width="17.5703125" style="89" customWidth="1"/>
    <col min="12294" max="12294" width="14.7109375" style="89" customWidth="1"/>
    <col min="12295" max="12295" width="16.140625" style="89" customWidth="1"/>
    <col min="12296" max="12300" width="0" style="89" hidden="1" customWidth="1"/>
    <col min="12301" max="12544" width="11.42578125" style="89"/>
    <col min="12545" max="12545" width="29" style="89" customWidth="1"/>
    <col min="12546" max="12547" width="11.42578125" style="89" customWidth="1"/>
    <col min="12548" max="12548" width="14.5703125" style="89" customWidth="1"/>
    <col min="12549" max="12549" width="17.5703125" style="89" customWidth="1"/>
    <col min="12550" max="12550" width="14.7109375" style="89" customWidth="1"/>
    <col min="12551" max="12551" width="16.140625" style="89" customWidth="1"/>
    <col min="12552" max="12556" width="0" style="89" hidden="1" customWidth="1"/>
    <col min="12557" max="12800" width="11.42578125" style="89"/>
    <col min="12801" max="12801" width="29" style="89" customWidth="1"/>
    <col min="12802" max="12803" width="11.42578125" style="89" customWidth="1"/>
    <col min="12804" max="12804" width="14.5703125" style="89" customWidth="1"/>
    <col min="12805" max="12805" width="17.5703125" style="89" customWidth="1"/>
    <col min="12806" max="12806" width="14.7109375" style="89" customWidth="1"/>
    <col min="12807" max="12807" width="16.140625" style="89" customWidth="1"/>
    <col min="12808" max="12812" width="0" style="89" hidden="1" customWidth="1"/>
    <col min="12813" max="13056" width="11.42578125" style="89"/>
    <col min="13057" max="13057" width="29" style="89" customWidth="1"/>
    <col min="13058" max="13059" width="11.42578125" style="89" customWidth="1"/>
    <col min="13060" max="13060" width="14.5703125" style="89" customWidth="1"/>
    <col min="13061" max="13061" width="17.5703125" style="89" customWidth="1"/>
    <col min="13062" max="13062" width="14.7109375" style="89" customWidth="1"/>
    <col min="13063" max="13063" width="16.140625" style="89" customWidth="1"/>
    <col min="13064" max="13068" width="0" style="89" hidden="1" customWidth="1"/>
    <col min="13069" max="13312" width="11.42578125" style="89"/>
    <col min="13313" max="13313" width="29" style="89" customWidth="1"/>
    <col min="13314" max="13315" width="11.42578125" style="89" customWidth="1"/>
    <col min="13316" max="13316" width="14.5703125" style="89" customWidth="1"/>
    <col min="13317" max="13317" width="17.5703125" style="89" customWidth="1"/>
    <col min="13318" max="13318" width="14.7109375" style="89" customWidth="1"/>
    <col min="13319" max="13319" width="16.140625" style="89" customWidth="1"/>
    <col min="13320" max="13324" width="0" style="89" hidden="1" customWidth="1"/>
    <col min="13325" max="13568" width="11.42578125" style="89"/>
    <col min="13569" max="13569" width="29" style="89" customWidth="1"/>
    <col min="13570" max="13571" width="11.42578125" style="89" customWidth="1"/>
    <col min="13572" max="13572" width="14.5703125" style="89" customWidth="1"/>
    <col min="13573" max="13573" width="17.5703125" style="89" customWidth="1"/>
    <col min="13574" max="13574" width="14.7109375" style="89" customWidth="1"/>
    <col min="13575" max="13575" width="16.140625" style="89" customWidth="1"/>
    <col min="13576" max="13580" width="0" style="89" hidden="1" customWidth="1"/>
    <col min="13581" max="13824" width="11.42578125" style="89"/>
    <col min="13825" max="13825" width="29" style="89" customWidth="1"/>
    <col min="13826" max="13827" width="11.42578125" style="89" customWidth="1"/>
    <col min="13828" max="13828" width="14.5703125" style="89" customWidth="1"/>
    <col min="13829" max="13829" width="17.5703125" style="89" customWidth="1"/>
    <col min="13830" max="13830" width="14.7109375" style="89" customWidth="1"/>
    <col min="13831" max="13831" width="16.140625" style="89" customWidth="1"/>
    <col min="13832" max="13836" width="0" style="89" hidden="1" customWidth="1"/>
    <col min="13837" max="14080" width="11.42578125" style="89"/>
    <col min="14081" max="14081" width="29" style="89" customWidth="1"/>
    <col min="14082" max="14083" width="11.42578125" style="89" customWidth="1"/>
    <col min="14084" max="14084" width="14.5703125" style="89" customWidth="1"/>
    <col min="14085" max="14085" width="17.5703125" style="89" customWidth="1"/>
    <col min="14086" max="14086" width="14.7109375" style="89" customWidth="1"/>
    <col min="14087" max="14087" width="16.140625" style="89" customWidth="1"/>
    <col min="14088" max="14092" width="0" style="89" hidden="1" customWidth="1"/>
    <col min="14093" max="14336" width="11.42578125" style="89"/>
    <col min="14337" max="14337" width="29" style="89" customWidth="1"/>
    <col min="14338" max="14339" width="11.42578125" style="89" customWidth="1"/>
    <col min="14340" max="14340" width="14.5703125" style="89" customWidth="1"/>
    <col min="14341" max="14341" width="17.5703125" style="89" customWidth="1"/>
    <col min="14342" max="14342" width="14.7109375" style="89" customWidth="1"/>
    <col min="14343" max="14343" width="16.140625" style="89" customWidth="1"/>
    <col min="14344" max="14348" width="0" style="89" hidden="1" customWidth="1"/>
    <col min="14349" max="14592" width="11.42578125" style="89"/>
    <col min="14593" max="14593" width="29" style="89" customWidth="1"/>
    <col min="14594" max="14595" width="11.42578125" style="89" customWidth="1"/>
    <col min="14596" max="14596" width="14.5703125" style="89" customWidth="1"/>
    <col min="14597" max="14597" width="17.5703125" style="89" customWidth="1"/>
    <col min="14598" max="14598" width="14.7109375" style="89" customWidth="1"/>
    <col min="14599" max="14599" width="16.140625" style="89" customWidth="1"/>
    <col min="14600" max="14604" width="0" style="89" hidden="1" customWidth="1"/>
    <col min="14605" max="14848" width="11.42578125" style="89"/>
    <col min="14849" max="14849" width="29" style="89" customWidth="1"/>
    <col min="14850" max="14851" width="11.42578125" style="89" customWidth="1"/>
    <col min="14852" max="14852" width="14.5703125" style="89" customWidth="1"/>
    <col min="14853" max="14853" width="17.5703125" style="89" customWidth="1"/>
    <col min="14854" max="14854" width="14.7109375" style="89" customWidth="1"/>
    <col min="14855" max="14855" width="16.140625" style="89" customWidth="1"/>
    <col min="14856" max="14860" width="0" style="89" hidden="1" customWidth="1"/>
    <col min="14861" max="15104" width="11.42578125" style="89"/>
    <col min="15105" max="15105" width="29" style="89" customWidth="1"/>
    <col min="15106" max="15107" width="11.42578125" style="89" customWidth="1"/>
    <col min="15108" max="15108" width="14.5703125" style="89" customWidth="1"/>
    <col min="15109" max="15109" width="17.5703125" style="89" customWidth="1"/>
    <col min="15110" max="15110" width="14.7109375" style="89" customWidth="1"/>
    <col min="15111" max="15111" width="16.140625" style="89" customWidth="1"/>
    <col min="15112" max="15116" width="0" style="89" hidden="1" customWidth="1"/>
    <col min="15117" max="15360" width="11.42578125" style="89"/>
    <col min="15361" max="15361" width="29" style="89" customWidth="1"/>
    <col min="15362" max="15363" width="11.42578125" style="89" customWidth="1"/>
    <col min="15364" max="15364" width="14.5703125" style="89" customWidth="1"/>
    <col min="15365" max="15365" width="17.5703125" style="89" customWidth="1"/>
    <col min="15366" max="15366" width="14.7109375" style="89" customWidth="1"/>
    <col min="15367" max="15367" width="16.140625" style="89" customWidth="1"/>
    <col min="15368" max="15372" width="0" style="89" hidden="1" customWidth="1"/>
    <col min="15373" max="15616" width="11.42578125" style="89"/>
    <col min="15617" max="15617" width="29" style="89" customWidth="1"/>
    <col min="15618" max="15619" width="11.42578125" style="89" customWidth="1"/>
    <col min="15620" max="15620" width="14.5703125" style="89" customWidth="1"/>
    <col min="15621" max="15621" width="17.5703125" style="89" customWidth="1"/>
    <col min="15622" max="15622" width="14.7109375" style="89" customWidth="1"/>
    <col min="15623" max="15623" width="16.140625" style="89" customWidth="1"/>
    <col min="15624" max="15628" width="0" style="89" hidden="1" customWidth="1"/>
    <col min="15629" max="15872" width="11.42578125" style="89"/>
    <col min="15873" max="15873" width="29" style="89" customWidth="1"/>
    <col min="15874" max="15875" width="11.42578125" style="89" customWidth="1"/>
    <col min="15876" max="15876" width="14.5703125" style="89" customWidth="1"/>
    <col min="15877" max="15877" width="17.5703125" style="89" customWidth="1"/>
    <col min="15878" max="15878" width="14.7109375" style="89" customWidth="1"/>
    <col min="15879" max="15879" width="16.140625" style="89" customWidth="1"/>
    <col min="15880" max="15884" width="0" style="89" hidden="1" customWidth="1"/>
    <col min="15885" max="16128" width="11.42578125" style="89"/>
    <col min="16129" max="16129" width="29" style="89" customWidth="1"/>
    <col min="16130" max="16131" width="11.42578125" style="89" customWidth="1"/>
    <col min="16132" max="16132" width="14.5703125" style="89" customWidth="1"/>
    <col min="16133" max="16133" width="17.5703125" style="89" customWidth="1"/>
    <col min="16134" max="16134" width="14.7109375" style="89" customWidth="1"/>
    <col min="16135" max="16135" width="16.140625" style="89" customWidth="1"/>
    <col min="16136" max="16140" width="0" style="89" hidden="1" customWidth="1"/>
    <col min="16141" max="16384" width="11.42578125" style="89"/>
  </cols>
  <sheetData>
    <row r="1" spans="1:12" ht="12.75" customHeight="1">
      <c r="A1" s="335"/>
      <c r="B1" s="336" t="s">
        <v>356</v>
      </c>
      <c r="C1" s="337"/>
      <c r="D1" s="337"/>
      <c r="E1" s="337"/>
      <c r="F1" s="337"/>
      <c r="G1" s="337"/>
      <c r="H1" s="337"/>
      <c r="I1" s="337"/>
      <c r="J1" s="338"/>
      <c r="K1" s="361" t="s">
        <v>357</v>
      </c>
      <c r="L1" s="362"/>
    </row>
    <row r="2" spans="1:12" ht="12.75" customHeight="1">
      <c r="A2" s="335"/>
      <c r="B2" s="339"/>
      <c r="C2" s="340"/>
      <c r="D2" s="340"/>
      <c r="E2" s="340"/>
      <c r="F2" s="340"/>
      <c r="G2" s="340"/>
      <c r="H2" s="340"/>
      <c r="I2" s="340"/>
      <c r="J2" s="341"/>
      <c r="K2" s="359" t="s">
        <v>358</v>
      </c>
      <c r="L2" s="360"/>
    </row>
    <row r="3" spans="1:12" ht="13.5" customHeight="1" thickBot="1">
      <c r="A3" s="335"/>
      <c r="B3" s="342"/>
      <c r="C3" s="343"/>
      <c r="D3" s="343"/>
      <c r="E3" s="343"/>
      <c r="F3" s="343"/>
      <c r="G3" s="343"/>
      <c r="H3" s="343"/>
      <c r="I3" s="343"/>
      <c r="J3" s="344"/>
      <c r="K3" s="357" t="s">
        <v>359</v>
      </c>
      <c r="L3" s="358"/>
    </row>
    <row r="4" spans="1:12" s="364" customFormat="1" ht="24.75" customHeight="1">
      <c r="A4" s="363" t="s">
        <v>112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</row>
    <row r="5" spans="1:12" ht="16.5" customHeight="1">
      <c r="A5" s="302" t="s">
        <v>44</v>
      </c>
      <c r="B5" s="302" t="s">
        <v>2</v>
      </c>
      <c r="C5" s="303" t="s">
        <v>3</v>
      </c>
      <c r="D5" s="303" t="s">
        <v>4</v>
      </c>
      <c r="E5" s="303" t="s">
        <v>5</v>
      </c>
      <c r="F5" s="303" t="s">
        <v>6</v>
      </c>
      <c r="G5" s="303"/>
      <c r="H5" s="303"/>
      <c r="I5" s="303"/>
      <c r="J5" s="303"/>
      <c r="K5" s="303"/>
      <c r="L5" s="303"/>
    </row>
    <row r="6" spans="1:12" ht="29.25" customHeight="1">
      <c r="A6" s="302"/>
      <c r="B6" s="302"/>
      <c r="C6" s="303"/>
      <c r="D6" s="303"/>
      <c r="E6" s="303"/>
      <c r="F6" s="146" t="s">
        <v>7</v>
      </c>
      <c r="G6" s="146" t="s">
        <v>8</v>
      </c>
      <c r="H6" s="146" t="s">
        <v>9</v>
      </c>
      <c r="I6" s="146" t="s">
        <v>10</v>
      </c>
      <c r="J6" s="146" t="s">
        <v>11</v>
      </c>
      <c r="K6" s="146" t="s">
        <v>12</v>
      </c>
      <c r="L6" s="146" t="s">
        <v>13</v>
      </c>
    </row>
    <row r="7" spans="1:12" ht="24">
      <c r="A7" s="90" t="s">
        <v>113</v>
      </c>
      <c r="B7" s="91" t="s">
        <v>15</v>
      </c>
      <c r="C7" s="92">
        <v>50</v>
      </c>
      <c r="D7" s="93"/>
      <c r="E7" s="93"/>
      <c r="F7" s="93"/>
      <c r="G7" s="93"/>
      <c r="H7" s="93"/>
      <c r="I7" s="93"/>
      <c r="J7" s="93"/>
      <c r="K7" s="93"/>
      <c r="L7" s="93"/>
    </row>
    <row r="8" spans="1:12" ht="24">
      <c r="A8" s="94" t="s">
        <v>114</v>
      </c>
      <c r="B8" s="95" t="s">
        <v>115</v>
      </c>
      <c r="C8" s="96">
        <v>1</v>
      </c>
      <c r="D8" s="93"/>
      <c r="E8" s="93"/>
      <c r="F8" s="93"/>
      <c r="G8" s="93"/>
      <c r="H8" s="93"/>
      <c r="I8" s="93"/>
      <c r="J8" s="93"/>
      <c r="K8" s="93"/>
      <c r="L8" s="93"/>
    </row>
    <row r="9" spans="1:12" s="100" customFormat="1" ht="24">
      <c r="A9" s="97" t="s">
        <v>116</v>
      </c>
      <c r="B9" s="98"/>
      <c r="C9" s="99"/>
      <c r="D9" s="93"/>
      <c r="E9" s="93"/>
      <c r="F9" s="93"/>
      <c r="G9" s="93"/>
      <c r="H9" s="93"/>
      <c r="I9" s="93"/>
      <c r="J9" s="93"/>
      <c r="K9" s="93"/>
      <c r="L9" s="93"/>
    </row>
    <row r="10" spans="1:12" s="100" customFormat="1" ht="24">
      <c r="A10" s="97" t="s">
        <v>117</v>
      </c>
      <c r="B10" s="98" t="s">
        <v>84</v>
      </c>
      <c r="C10" s="99">
        <v>11</v>
      </c>
      <c r="D10" s="101">
        <f>+(3300000*1.004)</f>
        <v>3313200</v>
      </c>
      <c r="E10" s="101">
        <f>+C10*D10</f>
        <v>36445200</v>
      </c>
      <c r="F10" s="101">
        <v>0</v>
      </c>
      <c r="G10" s="101">
        <f>+E10</f>
        <v>36445200</v>
      </c>
      <c r="H10" s="93"/>
      <c r="I10" s="93"/>
      <c r="J10" s="93"/>
      <c r="K10" s="93"/>
      <c r="L10" s="93"/>
    </row>
    <row r="11" spans="1:12" s="100" customFormat="1" ht="24">
      <c r="A11" s="97" t="s">
        <v>117</v>
      </c>
      <c r="B11" s="98" t="s">
        <v>84</v>
      </c>
      <c r="C11" s="99">
        <v>11</v>
      </c>
      <c r="D11" s="101">
        <f>+(2900000*1.004)</f>
        <v>2911600</v>
      </c>
      <c r="E11" s="101">
        <f>+C11*D11</f>
        <v>32027600</v>
      </c>
      <c r="F11" s="101">
        <v>0</v>
      </c>
      <c r="G11" s="101">
        <f>+E11</f>
        <v>32027600</v>
      </c>
      <c r="H11" s="93"/>
      <c r="I11" s="93"/>
      <c r="J11" s="93"/>
      <c r="K11" s="93"/>
      <c r="L11" s="93"/>
    </row>
    <row r="12" spans="1:12" s="100" customFormat="1" ht="18" customHeight="1">
      <c r="A12" s="97" t="s">
        <v>118</v>
      </c>
      <c r="B12" s="98" t="s">
        <v>84</v>
      </c>
      <c r="C12" s="99">
        <v>3</v>
      </c>
      <c r="D12" s="101">
        <f>+(1700000*1.004)</f>
        <v>1706800</v>
      </c>
      <c r="E12" s="101">
        <f>+C12*D12</f>
        <v>5120400</v>
      </c>
      <c r="F12" s="101">
        <v>0</v>
      </c>
      <c r="G12" s="101">
        <f>+E12</f>
        <v>5120400</v>
      </c>
      <c r="H12" s="93"/>
      <c r="I12" s="93"/>
      <c r="J12" s="93"/>
      <c r="K12" s="93"/>
      <c r="L12" s="93"/>
    </row>
    <row r="13" spans="1:12" ht="24">
      <c r="A13" s="94" t="s">
        <v>119</v>
      </c>
      <c r="B13" s="102" t="s">
        <v>120</v>
      </c>
      <c r="C13" s="102">
        <v>1</v>
      </c>
      <c r="D13" s="101"/>
      <c r="E13" s="93"/>
      <c r="F13" s="101"/>
      <c r="G13" s="93"/>
      <c r="H13" s="93"/>
      <c r="I13" s="93"/>
      <c r="J13" s="93"/>
      <c r="K13" s="93"/>
      <c r="L13" s="93"/>
    </row>
    <row r="14" spans="1:12" s="100" customFormat="1" ht="24.75" customHeight="1">
      <c r="A14" s="103" t="s">
        <v>121</v>
      </c>
      <c r="B14" s="104" t="s">
        <v>24</v>
      </c>
      <c r="C14" s="104">
        <v>1</v>
      </c>
      <c r="D14" s="101">
        <v>260000000</v>
      </c>
      <c r="E14" s="93">
        <f>+C14*D14</f>
        <v>260000000</v>
      </c>
      <c r="F14" s="101">
        <v>200000000</v>
      </c>
      <c r="G14" s="93">
        <v>60000000</v>
      </c>
      <c r="H14" s="93"/>
      <c r="I14" s="93"/>
      <c r="J14" s="93"/>
      <c r="K14" s="93"/>
      <c r="L14" s="93"/>
    </row>
    <row r="15" spans="1:12" s="100" customFormat="1" ht="24">
      <c r="A15" s="103" t="s">
        <v>122</v>
      </c>
      <c r="B15" s="104" t="s">
        <v>24</v>
      </c>
      <c r="C15" s="104">
        <v>1</v>
      </c>
      <c r="D15" s="101">
        <v>100000000</v>
      </c>
      <c r="E15" s="93">
        <f>+C15*D15</f>
        <v>100000000</v>
      </c>
      <c r="F15" s="101">
        <v>0</v>
      </c>
      <c r="G15" s="93">
        <f>+E15</f>
        <v>100000000</v>
      </c>
      <c r="H15" s="93"/>
      <c r="I15" s="93"/>
      <c r="J15" s="93"/>
      <c r="K15" s="93"/>
      <c r="L15" s="93"/>
    </row>
    <row r="16" spans="1:12" ht="38.25" customHeight="1">
      <c r="A16" s="105" t="s">
        <v>123</v>
      </c>
      <c r="B16" s="102" t="s">
        <v>124</v>
      </c>
      <c r="C16" s="102">
        <v>1</v>
      </c>
      <c r="D16" s="101"/>
      <c r="E16" s="93"/>
      <c r="F16" s="101"/>
      <c r="G16" s="93"/>
      <c r="H16" s="93"/>
      <c r="I16" s="93"/>
      <c r="J16" s="93"/>
      <c r="K16" s="93"/>
      <c r="L16" s="93"/>
    </row>
    <row r="17" spans="1:12" s="100" customFormat="1">
      <c r="A17" s="103" t="s">
        <v>107</v>
      </c>
      <c r="B17" s="104" t="s">
        <v>24</v>
      </c>
      <c r="C17" s="104">
        <v>1</v>
      </c>
      <c r="D17" s="101">
        <v>377109600</v>
      </c>
      <c r="E17" s="93">
        <f>+C17*D17</f>
        <v>377109600</v>
      </c>
      <c r="F17" s="101">
        <f>+E17</f>
        <v>377109600</v>
      </c>
      <c r="G17" s="101">
        <v>0</v>
      </c>
      <c r="H17" s="93"/>
      <c r="I17" s="93"/>
      <c r="J17" s="93"/>
      <c r="K17" s="93"/>
      <c r="L17" s="93"/>
    </row>
    <row r="18" spans="1:12" ht="48.75" thickBot="1">
      <c r="A18" s="106" t="s">
        <v>125</v>
      </c>
      <c r="B18" s="102" t="s">
        <v>126</v>
      </c>
      <c r="C18" s="102">
        <v>1</v>
      </c>
      <c r="D18" s="101"/>
      <c r="E18" s="93"/>
      <c r="F18" s="93"/>
      <c r="G18" s="93"/>
      <c r="H18" s="93"/>
      <c r="I18" s="93"/>
      <c r="J18" s="93"/>
      <c r="K18" s="93"/>
      <c r="L18" s="101"/>
    </row>
    <row r="19" spans="1:12" s="100" customFormat="1">
      <c r="A19" s="103" t="s">
        <v>127</v>
      </c>
      <c r="B19" s="104" t="s">
        <v>84</v>
      </c>
      <c r="C19" s="104">
        <v>11</v>
      </c>
      <c r="D19" s="101">
        <f>3400000*1.004</f>
        <v>3413600</v>
      </c>
      <c r="E19" s="93">
        <f t="shared" ref="E19:E25" si="0">+C19*D19</f>
        <v>37549600</v>
      </c>
      <c r="F19" s="101">
        <v>0</v>
      </c>
      <c r="G19" s="93">
        <f>+E19</f>
        <v>37549600</v>
      </c>
      <c r="H19" s="93"/>
      <c r="I19" s="93"/>
      <c r="J19" s="93"/>
      <c r="K19" s="93"/>
      <c r="L19" s="101"/>
    </row>
    <row r="20" spans="1:12" s="100" customFormat="1">
      <c r="A20" s="103" t="s">
        <v>128</v>
      </c>
      <c r="B20" s="104" t="s">
        <v>84</v>
      </c>
      <c r="C20" s="104">
        <v>11</v>
      </c>
      <c r="D20" s="101">
        <f>2900000*1.004</f>
        <v>2911600</v>
      </c>
      <c r="E20" s="93">
        <f t="shared" si="0"/>
        <v>32027600</v>
      </c>
      <c r="F20" s="101">
        <v>0</v>
      </c>
      <c r="G20" s="93">
        <f>+E20</f>
        <v>32027600</v>
      </c>
      <c r="H20" s="93"/>
      <c r="I20" s="93"/>
      <c r="J20" s="93"/>
      <c r="K20" s="93"/>
      <c r="L20" s="101"/>
    </row>
    <row r="21" spans="1:12" s="100" customFormat="1">
      <c r="A21" s="103" t="s">
        <v>129</v>
      </c>
      <c r="B21" s="104" t="s">
        <v>84</v>
      </c>
      <c r="C21" s="104">
        <v>7</v>
      </c>
      <c r="D21" s="101">
        <f>2100000*1.004</f>
        <v>2108400</v>
      </c>
      <c r="E21" s="93">
        <f t="shared" si="0"/>
        <v>14758800</v>
      </c>
      <c r="F21" s="101">
        <v>0</v>
      </c>
      <c r="G21" s="93">
        <f>+E21</f>
        <v>14758800</v>
      </c>
      <c r="H21" s="93"/>
      <c r="I21" s="93"/>
      <c r="J21" s="93"/>
      <c r="K21" s="93"/>
      <c r="L21" s="101"/>
    </row>
    <row r="22" spans="1:12" s="100" customFormat="1">
      <c r="A22" s="103" t="s">
        <v>130</v>
      </c>
      <c r="B22" s="104" t="s">
        <v>84</v>
      </c>
      <c r="C22" s="104">
        <v>11</v>
      </c>
      <c r="D22" s="101">
        <f>1500000*1.004</f>
        <v>1506000</v>
      </c>
      <c r="E22" s="93">
        <f t="shared" si="0"/>
        <v>16566000</v>
      </c>
      <c r="F22" s="101"/>
      <c r="G22" s="93">
        <f>+E22</f>
        <v>16566000</v>
      </c>
      <c r="H22" s="93"/>
      <c r="I22" s="93"/>
      <c r="J22" s="93"/>
      <c r="K22" s="93"/>
      <c r="L22" s="101"/>
    </row>
    <row r="23" spans="1:12" s="100" customFormat="1">
      <c r="A23" s="103" t="s">
        <v>131</v>
      </c>
      <c r="B23" s="104" t="s">
        <v>84</v>
      </c>
      <c r="C23" s="104">
        <v>11</v>
      </c>
      <c r="D23" s="101">
        <f>1500000*1.004</f>
        <v>1506000</v>
      </c>
      <c r="E23" s="93">
        <f t="shared" si="0"/>
        <v>16566000</v>
      </c>
      <c r="F23" s="101">
        <v>0</v>
      </c>
      <c r="G23" s="93">
        <f>+E23</f>
        <v>16566000</v>
      </c>
      <c r="H23" s="93"/>
      <c r="I23" s="93"/>
      <c r="J23" s="93"/>
      <c r="K23" s="93"/>
      <c r="L23" s="101"/>
    </row>
    <row r="24" spans="1:12" s="100" customFormat="1">
      <c r="A24" s="103" t="s">
        <v>132</v>
      </c>
      <c r="B24" s="104" t="s">
        <v>133</v>
      </c>
      <c r="C24" s="104">
        <v>1</v>
      </c>
      <c r="D24" s="101">
        <v>150000000</v>
      </c>
      <c r="E24" s="93">
        <f t="shared" si="0"/>
        <v>150000000</v>
      </c>
      <c r="F24" s="93">
        <v>115330571</v>
      </c>
      <c r="G24" s="93">
        <f>+E24-F24</f>
        <v>34669429</v>
      </c>
      <c r="H24" s="93"/>
      <c r="I24" s="93"/>
      <c r="J24" s="93"/>
      <c r="K24" s="93"/>
      <c r="L24" s="101"/>
    </row>
    <row r="25" spans="1:12" s="100" customFormat="1">
      <c r="A25" s="103" t="s">
        <v>106</v>
      </c>
      <c r="B25" s="104" t="s">
        <v>24</v>
      </c>
      <c r="C25" s="104">
        <v>1</v>
      </c>
      <c r="D25" s="101">
        <v>205301600</v>
      </c>
      <c r="E25" s="93">
        <f t="shared" si="0"/>
        <v>205301600</v>
      </c>
      <c r="F25" s="93">
        <v>200000000</v>
      </c>
      <c r="G25" s="93">
        <f>+E25-F25</f>
        <v>5301600</v>
      </c>
      <c r="H25" s="93"/>
      <c r="I25" s="93"/>
      <c r="J25" s="93"/>
      <c r="K25" s="93"/>
      <c r="L25" s="101"/>
    </row>
    <row r="26" spans="1:12" ht="36">
      <c r="A26" s="107" t="s">
        <v>98</v>
      </c>
      <c r="B26" s="108" t="s">
        <v>99</v>
      </c>
      <c r="C26" s="109">
        <v>100</v>
      </c>
      <c r="D26" s="101"/>
      <c r="E26" s="93"/>
      <c r="F26" s="101"/>
      <c r="G26" s="93"/>
      <c r="H26" s="93"/>
      <c r="I26" s="93"/>
      <c r="J26" s="93"/>
      <c r="K26" s="93"/>
      <c r="L26" s="93"/>
    </row>
    <row r="27" spans="1:12">
      <c r="A27" s="110" t="s">
        <v>134</v>
      </c>
      <c r="B27" s="108" t="s">
        <v>133</v>
      </c>
      <c r="C27" s="109">
        <v>1</v>
      </c>
      <c r="D27" s="101">
        <v>6000000</v>
      </c>
      <c r="E27" s="93">
        <f>+C27*D27</f>
        <v>6000000</v>
      </c>
      <c r="F27" s="101">
        <v>0</v>
      </c>
      <c r="G27" s="93">
        <f>+E27</f>
        <v>6000000</v>
      </c>
      <c r="H27" s="93"/>
      <c r="I27" s="93"/>
      <c r="J27" s="93"/>
      <c r="K27" s="93"/>
      <c r="L27" s="93"/>
    </row>
    <row r="28" spans="1:12">
      <c r="A28" s="110" t="s">
        <v>135</v>
      </c>
      <c r="B28" s="108" t="s">
        <v>133</v>
      </c>
      <c r="C28" s="109">
        <v>1</v>
      </c>
      <c r="D28" s="101">
        <v>8000000</v>
      </c>
      <c r="E28" s="93">
        <f>+C28*D28</f>
        <v>8000000</v>
      </c>
      <c r="F28" s="101">
        <v>0</v>
      </c>
      <c r="G28" s="93">
        <f>+E28</f>
        <v>8000000</v>
      </c>
      <c r="H28" s="93"/>
      <c r="I28" s="93"/>
      <c r="J28" s="93"/>
      <c r="K28" s="93"/>
      <c r="L28" s="93"/>
    </row>
    <row r="29" spans="1:12">
      <c r="A29" s="110" t="s">
        <v>101</v>
      </c>
      <c r="B29" s="108" t="s">
        <v>133</v>
      </c>
      <c r="C29" s="109">
        <v>1</v>
      </c>
      <c r="D29" s="101">
        <v>2000000</v>
      </c>
      <c r="E29" s="93">
        <f>+C29*D29</f>
        <v>2000000</v>
      </c>
      <c r="F29" s="101">
        <v>0</v>
      </c>
      <c r="G29" s="93">
        <f>+E29</f>
        <v>2000000</v>
      </c>
      <c r="H29" s="93"/>
      <c r="I29" s="93"/>
      <c r="J29" s="93"/>
      <c r="K29" s="93"/>
      <c r="L29" s="93"/>
    </row>
    <row r="30" spans="1:12">
      <c r="A30" s="110" t="s">
        <v>136</v>
      </c>
      <c r="B30" s="108" t="s">
        <v>24</v>
      </c>
      <c r="C30" s="109">
        <v>1</v>
      </c>
      <c r="D30" s="101">
        <v>527600</v>
      </c>
      <c r="E30" s="93">
        <f>+C30*D30</f>
        <v>527600</v>
      </c>
      <c r="F30" s="101"/>
      <c r="G30" s="93">
        <f>+E30</f>
        <v>527600</v>
      </c>
      <c r="H30" s="93"/>
      <c r="I30" s="93"/>
      <c r="J30" s="93"/>
      <c r="K30" s="93"/>
      <c r="L30" s="93"/>
    </row>
    <row r="31" spans="1:12">
      <c r="A31" s="279" t="s">
        <v>37</v>
      </c>
      <c r="B31" s="279"/>
      <c r="C31" s="279"/>
      <c r="D31" s="279"/>
      <c r="E31" s="111">
        <f>SUM(E7:E30)</f>
        <v>1300000000</v>
      </c>
      <c r="F31" s="111">
        <f>SUM(F7:F29)</f>
        <v>892440171</v>
      </c>
      <c r="G31" s="111">
        <f>SUM(G7:G30)</f>
        <v>407559829</v>
      </c>
      <c r="H31" s="111">
        <f>SUM(H13:H26)</f>
        <v>0</v>
      </c>
      <c r="I31" s="111">
        <f>SUM(I13:I26)</f>
        <v>0</v>
      </c>
      <c r="J31" s="111">
        <f>SUM(J13:J26)</f>
        <v>0</v>
      </c>
      <c r="K31" s="111">
        <f>SUM(K13:K26)</f>
        <v>0</v>
      </c>
      <c r="L31" s="111">
        <f>SUM(L13:L26)</f>
        <v>0</v>
      </c>
    </row>
    <row r="32" spans="1:12" ht="12.75" customHeight="1">
      <c r="A32" s="280" t="s">
        <v>38</v>
      </c>
      <c r="B32" s="280"/>
      <c r="C32" s="280"/>
      <c r="D32" s="280"/>
      <c r="E32" s="112">
        <f>+'FUENTES Y USOS'!S20</f>
        <v>1300000000</v>
      </c>
      <c r="F32" s="112">
        <f>+'FUENTES Y USOS'!M20</f>
        <v>892440171.01667023</v>
      </c>
      <c r="G32" s="112">
        <f>+'FUENTES Y USOS'!N20</f>
        <v>407559828.98332977</v>
      </c>
      <c r="H32" s="112">
        <f>+'[6]FUENTES Y USOS'!O20</f>
        <v>0</v>
      </c>
      <c r="I32" s="112">
        <f>+'[6]FUENTES Y USOS'!P20</f>
        <v>0</v>
      </c>
      <c r="J32" s="112">
        <f>+'[6]FUENTES Y USOS'!Q20</f>
        <v>0</v>
      </c>
      <c r="K32" s="112">
        <f>+'[6]FUENTES Y USOS'!R20</f>
        <v>0</v>
      </c>
      <c r="L32" s="112"/>
    </row>
    <row r="33" spans="1:12">
      <c r="A33" s="279" t="s">
        <v>39</v>
      </c>
      <c r="B33" s="279"/>
      <c r="C33" s="279"/>
      <c r="D33" s="279"/>
      <c r="E33" s="113">
        <f>+E32-E31</f>
        <v>0</v>
      </c>
      <c r="F33" s="113">
        <f t="shared" ref="F33:L33" si="1">+F32-F31</f>
        <v>1.667022705078125E-2</v>
      </c>
      <c r="G33" s="113">
        <f t="shared" si="1"/>
        <v>-1.667022705078125E-2</v>
      </c>
      <c r="H33" s="113">
        <f t="shared" si="1"/>
        <v>0</v>
      </c>
      <c r="I33" s="113">
        <f t="shared" si="1"/>
        <v>0</v>
      </c>
      <c r="J33" s="113">
        <f t="shared" si="1"/>
        <v>0</v>
      </c>
      <c r="K33" s="113">
        <f t="shared" si="1"/>
        <v>0</v>
      </c>
      <c r="L33" s="113">
        <f t="shared" si="1"/>
        <v>0</v>
      </c>
    </row>
    <row r="35" spans="1:12" ht="12.75">
      <c r="A35" s="85"/>
      <c r="B35" s="292" t="s">
        <v>40</v>
      </c>
      <c r="C35" s="292"/>
      <c r="D35" s="292"/>
      <c r="E35" s="292"/>
    </row>
    <row r="36" spans="1:12" ht="12.75">
      <c r="A36" s="86"/>
      <c r="B36" s="292" t="s">
        <v>42</v>
      </c>
      <c r="C36" s="292"/>
      <c r="D36" s="292"/>
      <c r="E36" s="292"/>
    </row>
    <row r="37" spans="1:12" ht="12.75">
      <c r="A37" s="192"/>
      <c r="B37" s="192"/>
      <c r="C37" s="192"/>
      <c r="D37" s="192"/>
      <c r="E37" s="192"/>
    </row>
  </sheetData>
  <mergeCells count="16">
    <mergeCell ref="B35:E35"/>
    <mergeCell ref="B36:E36"/>
    <mergeCell ref="B1:J3"/>
    <mergeCell ref="K1:L1"/>
    <mergeCell ref="K2:L2"/>
    <mergeCell ref="K3:L3"/>
    <mergeCell ref="A31:D31"/>
    <mergeCell ref="A32:D32"/>
    <mergeCell ref="A33:D33"/>
    <mergeCell ref="A4:L4"/>
    <mergeCell ref="A5:A6"/>
    <mergeCell ref="B5:B6"/>
    <mergeCell ref="C5:C6"/>
    <mergeCell ref="D5:D6"/>
    <mergeCell ref="E5:E6"/>
    <mergeCell ref="F5:L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22"/>
  <sheetViews>
    <sheetView workbookViewId="0">
      <pane xSplit="2" ySplit="3" topLeftCell="Q4" activePane="bottomRight" state="frozen"/>
      <selection pane="topRight" activeCell="C1" sqref="C1"/>
      <selection pane="bottomLeft" activeCell="A4" sqref="A4"/>
      <selection pane="bottomRight" activeCell="AH1" sqref="A1:XFD1"/>
    </sheetView>
  </sheetViews>
  <sheetFormatPr baseColWidth="10" defaultRowHeight="12"/>
  <cols>
    <col min="1" max="1" width="3.5703125" style="219" bestFit="1" customWidth="1"/>
    <col min="2" max="2" width="36.7109375" style="213" customWidth="1"/>
    <col min="3" max="3" width="22" style="213" hidden="1" customWidth="1"/>
    <col min="4" max="4" width="19.7109375" style="213" hidden="1" customWidth="1"/>
    <col min="5" max="5" width="23.140625" style="213" hidden="1" customWidth="1"/>
    <col min="6" max="6" width="23.85546875" style="213" hidden="1" customWidth="1"/>
    <col min="7" max="7" width="16.7109375" style="213" hidden="1" customWidth="1"/>
    <col min="8" max="10" width="18.42578125" style="213" hidden="1" customWidth="1"/>
    <col min="11" max="11" width="22.28515625" style="213" hidden="1" customWidth="1"/>
    <col min="12" max="12" width="21.140625" style="225" hidden="1" customWidth="1"/>
    <col min="13" max="13" width="24.5703125" style="213" customWidth="1"/>
    <col min="14" max="14" width="21.85546875" style="213" customWidth="1"/>
    <col min="15" max="15" width="19.42578125" style="213" customWidth="1"/>
    <col min="16" max="16" width="20" style="213" customWidth="1"/>
    <col min="17" max="17" width="19.42578125" style="213" customWidth="1"/>
    <col min="18" max="18" width="20.140625" style="213" customWidth="1"/>
    <col min="19" max="19" width="23.140625" style="213" customWidth="1"/>
    <col min="20" max="20" width="13.85546875" style="213" hidden="1" customWidth="1"/>
    <col min="21" max="21" width="22.28515625" style="213" hidden="1" customWidth="1"/>
    <col min="22" max="22" width="15.5703125" style="213" hidden="1" customWidth="1"/>
    <col min="23" max="23" width="14.5703125" style="213" hidden="1" customWidth="1"/>
    <col min="24" max="24" width="11.42578125" style="213" hidden="1" customWidth="1"/>
    <col min="25" max="25" width="13.140625" style="213" hidden="1" customWidth="1"/>
    <col min="26" max="26" width="22.140625" style="213" hidden="1" customWidth="1"/>
    <col min="27" max="27" width="16.5703125" style="213" hidden="1" customWidth="1"/>
    <col min="28" max="28" width="14.7109375" style="213" hidden="1" customWidth="1"/>
    <col min="29" max="29" width="16.5703125" style="213" hidden="1" customWidth="1"/>
    <col min="30" max="30" width="14" style="213" hidden="1" customWidth="1"/>
    <col min="31" max="31" width="15.28515625" style="213" hidden="1" customWidth="1"/>
    <col min="32" max="32" width="14.140625" style="213" hidden="1" customWidth="1"/>
    <col min="33" max="33" width="15" style="213" hidden="1" customWidth="1"/>
    <col min="34" max="34" width="21" style="213" customWidth="1"/>
    <col min="35" max="35" width="20.42578125" style="213" hidden="1" customWidth="1"/>
    <col min="36" max="36" width="12" style="213" hidden="1" customWidth="1"/>
    <col min="37" max="37" width="15.85546875" style="213" customWidth="1"/>
    <col min="38" max="256" width="11.42578125" style="213"/>
    <col min="257" max="257" width="3.5703125" style="213" bestFit="1" customWidth="1"/>
    <col min="258" max="258" width="36.7109375" style="213" customWidth="1"/>
    <col min="259" max="268" width="0" style="213" hidden="1" customWidth="1"/>
    <col min="269" max="269" width="24.5703125" style="213" customWidth="1"/>
    <col min="270" max="270" width="21.85546875" style="213" customWidth="1"/>
    <col min="271" max="271" width="19.42578125" style="213" customWidth="1"/>
    <col min="272" max="272" width="20" style="213" customWidth="1"/>
    <col min="273" max="273" width="19.42578125" style="213" customWidth="1"/>
    <col min="274" max="274" width="20.140625" style="213" customWidth="1"/>
    <col min="275" max="275" width="23.140625" style="213" customWidth="1"/>
    <col min="276" max="289" width="0" style="213" hidden="1" customWidth="1"/>
    <col min="290" max="290" width="21" style="213" customWidth="1"/>
    <col min="291" max="292" width="0" style="213" hidden="1" customWidth="1"/>
    <col min="293" max="293" width="15.85546875" style="213" customWidth="1"/>
    <col min="294" max="512" width="11.42578125" style="213"/>
    <col min="513" max="513" width="3.5703125" style="213" bestFit="1" customWidth="1"/>
    <col min="514" max="514" width="36.7109375" style="213" customWidth="1"/>
    <col min="515" max="524" width="0" style="213" hidden="1" customWidth="1"/>
    <col min="525" max="525" width="24.5703125" style="213" customWidth="1"/>
    <col min="526" max="526" width="21.85546875" style="213" customWidth="1"/>
    <col min="527" max="527" width="19.42578125" style="213" customWidth="1"/>
    <col min="528" max="528" width="20" style="213" customWidth="1"/>
    <col min="529" max="529" width="19.42578125" style="213" customWidth="1"/>
    <col min="530" max="530" width="20.140625" style="213" customWidth="1"/>
    <col min="531" max="531" width="23.140625" style="213" customWidth="1"/>
    <col min="532" max="545" width="0" style="213" hidden="1" customWidth="1"/>
    <col min="546" max="546" width="21" style="213" customWidth="1"/>
    <col min="547" max="548" width="0" style="213" hidden="1" customWidth="1"/>
    <col min="549" max="549" width="15.85546875" style="213" customWidth="1"/>
    <col min="550" max="768" width="11.42578125" style="213"/>
    <col min="769" max="769" width="3.5703125" style="213" bestFit="1" customWidth="1"/>
    <col min="770" max="770" width="36.7109375" style="213" customWidth="1"/>
    <col min="771" max="780" width="0" style="213" hidden="1" customWidth="1"/>
    <col min="781" max="781" width="24.5703125" style="213" customWidth="1"/>
    <col min="782" max="782" width="21.85546875" style="213" customWidth="1"/>
    <col min="783" max="783" width="19.42578125" style="213" customWidth="1"/>
    <col min="784" max="784" width="20" style="213" customWidth="1"/>
    <col min="785" max="785" width="19.42578125" style="213" customWidth="1"/>
    <col min="786" max="786" width="20.140625" style="213" customWidth="1"/>
    <col min="787" max="787" width="23.140625" style="213" customWidth="1"/>
    <col min="788" max="801" width="0" style="213" hidden="1" customWidth="1"/>
    <col min="802" max="802" width="21" style="213" customWidth="1"/>
    <col min="803" max="804" width="0" style="213" hidden="1" customWidth="1"/>
    <col min="805" max="805" width="15.85546875" style="213" customWidth="1"/>
    <col min="806" max="1024" width="11.42578125" style="213"/>
    <col min="1025" max="1025" width="3.5703125" style="213" bestFit="1" customWidth="1"/>
    <col min="1026" max="1026" width="36.7109375" style="213" customWidth="1"/>
    <col min="1027" max="1036" width="0" style="213" hidden="1" customWidth="1"/>
    <col min="1037" max="1037" width="24.5703125" style="213" customWidth="1"/>
    <col min="1038" max="1038" width="21.85546875" style="213" customWidth="1"/>
    <col min="1039" max="1039" width="19.42578125" style="213" customWidth="1"/>
    <col min="1040" max="1040" width="20" style="213" customWidth="1"/>
    <col min="1041" max="1041" width="19.42578125" style="213" customWidth="1"/>
    <col min="1042" max="1042" width="20.140625" style="213" customWidth="1"/>
    <col min="1043" max="1043" width="23.140625" style="213" customWidth="1"/>
    <col min="1044" max="1057" width="0" style="213" hidden="1" customWidth="1"/>
    <col min="1058" max="1058" width="21" style="213" customWidth="1"/>
    <col min="1059" max="1060" width="0" style="213" hidden="1" customWidth="1"/>
    <col min="1061" max="1061" width="15.85546875" style="213" customWidth="1"/>
    <col min="1062" max="1280" width="11.42578125" style="213"/>
    <col min="1281" max="1281" width="3.5703125" style="213" bestFit="1" customWidth="1"/>
    <col min="1282" max="1282" width="36.7109375" style="213" customWidth="1"/>
    <col min="1283" max="1292" width="0" style="213" hidden="1" customWidth="1"/>
    <col min="1293" max="1293" width="24.5703125" style="213" customWidth="1"/>
    <col min="1294" max="1294" width="21.85546875" style="213" customWidth="1"/>
    <col min="1295" max="1295" width="19.42578125" style="213" customWidth="1"/>
    <col min="1296" max="1296" width="20" style="213" customWidth="1"/>
    <col min="1297" max="1297" width="19.42578125" style="213" customWidth="1"/>
    <col min="1298" max="1298" width="20.140625" style="213" customWidth="1"/>
    <col min="1299" max="1299" width="23.140625" style="213" customWidth="1"/>
    <col min="1300" max="1313" width="0" style="213" hidden="1" customWidth="1"/>
    <col min="1314" max="1314" width="21" style="213" customWidth="1"/>
    <col min="1315" max="1316" width="0" style="213" hidden="1" customWidth="1"/>
    <col min="1317" max="1317" width="15.85546875" style="213" customWidth="1"/>
    <col min="1318" max="1536" width="11.42578125" style="213"/>
    <col min="1537" max="1537" width="3.5703125" style="213" bestFit="1" customWidth="1"/>
    <col min="1538" max="1538" width="36.7109375" style="213" customWidth="1"/>
    <col min="1539" max="1548" width="0" style="213" hidden="1" customWidth="1"/>
    <col min="1549" max="1549" width="24.5703125" style="213" customWidth="1"/>
    <col min="1550" max="1550" width="21.85546875" style="213" customWidth="1"/>
    <col min="1551" max="1551" width="19.42578125" style="213" customWidth="1"/>
    <col min="1552" max="1552" width="20" style="213" customWidth="1"/>
    <col min="1553" max="1553" width="19.42578125" style="213" customWidth="1"/>
    <col min="1554" max="1554" width="20.140625" style="213" customWidth="1"/>
    <col min="1555" max="1555" width="23.140625" style="213" customWidth="1"/>
    <col min="1556" max="1569" width="0" style="213" hidden="1" customWidth="1"/>
    <col min="1570" max="1570" width="21" style="213" customWidth="1"/>
    <col min="1571" max="1572" width="0" style="213" hidden="1" customWidth="1"/>
    <col min="1573" max="1573" width="15.85546875" style="213" customWidth="1"/>
    <col min="1574" max="1792" width="11.42578125" style="213"/>
    <col min="1793" max="1793" width="3.5703125" style="213" bestFit="1" customWidth="1"/>
    <col min="1794" max="1794" width="36.7109375" style="213" customWidth="1"/>
    <col min="1795" max="1804" width="0" style="213" hidden="1" customWidth="1"/>
    <col min="1805" max="1805" width="24.5703125" style="213" customWidth="1"/>
    <col min="1806" max="1806" width="21.85546875" style="213" customWidth="1"/>
    <col min="1807" max="1807" width="19.42578125" style="213" customWidth="1"/>
    <col min="1808" max="1808" width="20" style="213" customWidth="1"/>
    <col min="1809" max="1809" width="19.42578125" style="213" customWidth="1"/>
    <col min="1810" max="1810" width="20.140625" style="213" customWidth="1"/>
    <col min="1811" max="1811" width="23.140625" style="213" customWidth="1"/>
    <col min="1812" max="1825" width="0" style="213" hidden="1" customWidth="1"/>
    <col min="1826" max="1826" width="21" style="213" customWidth="1"/>
    <col min="1827" max="1828" width="0" style="213" hidden="1" customWidth="1"/>
    <col min="1829" max="1829" width="15.85546875" style="213" customWidth="1"/>
    <col min="1830" max="2048" width="11.42578125" style="213"/>
    <col min="2049" max="2049" width="3.5703125" style="213" bestFit="1" customWidth="1"/>
    <col min="2050" max="2050" width="36.7109375" style="213" customWidth="1"/>
    <col min="2051" max="2060" width="0" style="213" hidden="1" customWidth="1"/>
    <col min="2061" max="2061" width="24.5703125" style="213" customWidth="1"/>
    <col min="2062" max="2062" width="21.85546875" style="213" customWidth="1"/>
    <col min="2063" max="2063" width="19.42578125" style="213" customWidth="1"/>
    <col min="2064" max="2064" width="20" style="213" customWidth="1"/>
    <col min="2065" max="2065" width="19.42578125" style="213" customWidth="1"/>
    <col min="2066" max="2066" width="20.140625" style="213" customWidth="1"/>
    <col min="2067" max="2067" width="23.140625" style="213" customWidth="1"/>
    <col min="2068" max="2081" width="0" style="213" hidden="1" customWidth="1"/>
    <col min="2082" max="2082" width="21" style="213" customWidth="1"/>
    <col min="2083" max="2084" width="0" style="213" hidden="1" customWidth="1"/>
    <col min="2085" max="2085" width="15.85546875" style="213" customWidth="1"/>
    <col min="2086" max="2304" width="11.42578125" style="213"/>
    <col min="2305" max="2305" width="3.5703125" style="213" bestFit="1" customWidth="1"/>
    <col min="2306" max="2306" width="36.7109375" style="213" customWidth="1"/>
    <col min="2307" max="2316" width="0" style="213" hidden="1" customWidth="1"/>
    <col min="2317" max="2317" width="24.5703125" style="213" customWidth="1"/>
    <col min="2318" max="2318" width="21.85546875" style="213" customWidth="1"/>
    <col min="2319" max="2319" width="19.42578125" style="213" customWidth="1"/>
    <col min="2320" max="2320" width="20" style="213" customWidth="1"/>
    <col min="2321" max="2321" width="19.42578125" style="213" customWidth="1"/>
    <col min="2322" max="2322" width="20.140625" style="213" customWidth="1"/>
    <col min="2323" max="2323" width="23.140625" style="213" customWidth="1"/>
    <col min="2324" max="2337" width="0" style="213" hidden="1" customWidth="1"/>
    <col min="2338" max="2338" width="21" style="213" customWidth="1"/>
    <col min="2339" max="2340" width="0" style="213" hidden="1" customWidth="1"/>
    <col min="2341" max="2341" width="15.85546875" style="213" customWidth="1"/>
    <col min="2342" max="2560" width="11.42578125" style="213"/>
    <col min="2561" max="2561" width="3.5703125" style="213" bestFit="1" customWidth="1"/>
    <col min="2562" max="2562" width="36.7109375" style="213" customWidth="1"/>
    <col min="2563" max="2572" width="0" style="213" hidden="1" customWidth="1"/>
    <col min="2573" max="2573" width="24.5703125" style="213" customWidth="1"/>
    <col min="2574" max="2574" width="21.85546875" style="213" customWidth="1"/>
    <col min="2575" max="2575" width="19.42578125" style="213" customWidth="1"/>
    <col min="2576" max="2576" width="20" style="213" customWidth="1"/>
    <col min="2577" max="2577" width="19.42578125" style="213" customWidth="1"/>
    <col min="2578" max="2578" width="20.140625" style="213" customWidth="1"/>
    <col min="2579" max="2579" width="23.140625" style="213" customWidth="1"/>
    <col min="2580" max="2593" width="0" style="213" hidden="1" customWidth="1"/>
    <col min="2594" max="2594" width="21" style="213" customWidth="1"/>
    <col min="2595" max="2596" width="0" style="213" hidden="1" customWidth="1"/>
    <col min="2597" max="2597" width="15.85546875" style="213" customWidth="1"/>
    <col min="2598" max="2816" width="11.42578125" style="213"/>
    <col min="2817" max="2817" width="3.5703125" style="213" bestFit="1" customWidth="1"/>
    <col min="2818" max="2818" width="36.7109375" style="213" customWidth="1"/>
    <col min="2819" max="2828" width="0" style="213" hidden="1" customWidth="1"/>
    <col min="2829" max="2829" width="24.5703125" style="213" customWidth="1"/>
    <col min="2830" max="2830" width="21.85546875" style="213" customWidth="1"/>
    <col min="2831" max="2831" width="19.42578125" style="213" customWidth="1"/>
    <col min="2832" max="2832" width="20" style="213" customWidth="1"/>
    <col min="2833" max="2833" width="19.42578125" style="213" customWidth="1"/>
    <col min="2834" max="2834" width="20.140625" style="213" customWidth="1"/>
    <col min="2835" max="2835" width="23.140625" style="213" customWidth="1"/>
    <col min="2836" max="2849" width="0" style="213" hidden="1" customWidth="1"/>
    <col min="2850" max="2850" width="21" style="213" customWidth="1"/>
    <col min="2851" max="2852" width="0" style="213" hidden="1" customWidth="1"/>
    <col min="2853" max="2853" width="15.85546875" style="213" customWidth="1"/>
    <col min="2854" max="3072" width="11.42578125" style="213"/>
    <col min="3073" max="3073" width="3.5703125" style="213" bestFit="1" customWidth="1"/>
    <col min="3074" max="3074" width="36.7109375" style="213" customWidth="1"/>
    <col min="3075" max="3084" width="0" style="213" hidden="1" customWidth="1"/>
    <col min="3085" max="3085" width="24.5703125" style="213" customWidth="1"/>
    <col min="3086" max="3086" width="21.85546875" style="213" customWidth="1"/>
    <col min="3087" max="3087" width="19.42578125" style="213" customWidth="1"/>
    <col min="3088" max="3088" width="20" style="213" customWidth="1"/>
    <col min="3089" max="3089" width="19.42578125" style="213" customWidth="1"/>
    <col min="3090" max="3090" width="20.140625" style="213" customWidth="1"/>
    <col min="3091" max="3091" width="23.140625" style="213" customWidth="1"/>
    <col min="3092" max="3105" width="0" style="213" hidden="1" customWidth="1"/>
    <col min="3106" max="3106" width="21" style="213" customWidth="1"/>
    <col min="3107" max="3108" width="0" style="213" hidden="1" customWidth="1"/>
    <col min="3109" max="3109" width="15.85546875" style="213" customWidth="1"/>
    <col min="3110" max="3328" width="11.42578125" style="213"/>
    <col min="3329" max="3329" width="3.5703125" style="213" bestFit="1" customWidth="1"/>
    <col min="3330" max="3330" width="36.7109375" style="213" customWidth="1"/>
    <col min="3331" max="3340" width="0" style="213" hidden="1" customWidth="1"/>
    <col min="3341" max="3341" width="24.5703125" style="213" customWidth="1"/>
    <col min="3342" max="3342" width="21.85546875" style="213" customWidth="1"/>
    <col min="3343" max="3343" width="19.42578125" style="213" customWidth="1"/>
    <col min="3344" max="3344" width="20" style="213" customWidth="1"/>
    <col min="3345" max="3345" width="19.42578125" style="213" customWidth="1"/>
    <col min="3346" max="3346" width="20.140625" style="213" customWidth="1"/>
    <col min="3347" max="3347" width="23.140625" style="213" customWidth="1"/>
    <col min="3348" max="3361" width="0" style="213" hidden="1" customWidth="1"/>
    <col min="3362" max="3362" width="21" style="213" customWidth="1"/>
    <col min="3363" max="3364" width="0" style="213" hidden="1" customWidth="1"/>
    <col min="3365" max="3365" width="15.85546875" style="213" customWidth="1"/>
    <col min="3366" max="3584" width="11.42578125" style="213"/>
    <col min="3585" max="3585" width="3.5703125" style="213" bestFit="1" customWidth="1"/>
    <col min="3586" max="3586" width="36.7109375" style="213" customWidth="1"/>
    <col min="3587" max="3596" width="0" style="213" hidden="1" customWidth="1"/>
    <col min="3597" max="3597" width="24.5703125" style="213" customWidth="1"/>
    <col min="3598" max="3598" width="21.85546875" style="213" customWidth="1"/>
    <col min="3599" max="3599" width="19.42578125" style="213" customWidth="1"/>
    <col min="3600" max="3600" width="20" style="213" customWidth="1"/>
    <col min="3601" max="3601" width="19.42578125" style="213" customWidth="1"/>
    <col min="3602" max="3602" width="20.140625" style="213" customWidth="1"/>
    <col min="3603" max="3603" width="23.140625" style="213" customWidth="1"/>
    <col min="3604" max="3617" width="0" style="213" hidden="1" customWidth="1"/>
    <col min="3618" max="3618" width="21" style="213" customWidth="1"/>
    <col min="3619" max="3620" width="0" style="213" hidden="1" customWidth="1"/>
    <col min="3621" max="3621" width="15.85546875" style="213" customWidth="1"/>
    <col min="3622" max="3840" width="11.42578125" style="213"/>
    <col min="3841" max="3841" width="3.5703125" style="213" bestFit="1" customWidth="1"/>
    <col min="3842" max="3842" width="36.7109375" style="213" customWidth="1"/>
    <col min="3843" max="3852" width="0" style="213" hidden="1" customWidth="1"/>
    <col min="3853" max="3853" width="24.5703125" style="213" customWidth="1"/>
    <col min="3854" max="3854" width="21.85546875" style="213" customWidth="1"/>
    <col min="3855" max="3855" width="19.42578125" style="213" customWidth="1"/>
    <col min="3856" max="3856" width="20" style="213" customWidth="1"/>
    <col min="3857" max="3857" width="19.42578125" style="213" customWidth="1"/>
    <col min="3858" max="3858" width="20.140625" style="213" customWidth="1"/>
    <col min="3859" max="3859" width="23.140625" style="213" customWidth="1"/>
    <col min="3860" max="3873" width="0" style="213" hidden="1" customWidth="1"/>
    <col min="3874" max="3874" width="21" style="213" customWidth="1"/>
    <col min="3875" max="3876" width="0" style="213" hidden="1" customWidth="1"/>
    <col min="3877" max="3877" width="15.85546875" style="213" customWidth="1"/>
    <col min="3878" max="4096" width="11.42578125" style="213"/>
    <col min="4097" max="4097" width="3.5703125" style="213" bestFit="1" customWidth="1"/>
    <col min="4098" max="4098" width="36.7109375" style="213" customWidth="1"/>
    <col min="4099" max="4108" width="0" style="213" hidden="1" customWidth="1"/>
    <col min="4109" max="4109" width="24.5703125" style="213" customWidth="1"/>
    <col min="4110" max="4110" width="21.85546875" style="213" customWidth="1"/>
    <col min="4111" max="4111" width="19.42578125" style="213" customWidth="1"/>
    <col min="4112" max="4112" width="20" style="213" customWidth="1"/>
    <col min="4113" max="4113" width="19.42578125" style="213" customWidth="1"/>
    <col min="4114" max="4114" width="20.140625" style="213" customWidth="1"/>
    <col min="4115" max="4115" width="23.140625" style="213" customWidth="1"/>
    <col min="4116" max="4129" width="0" style="213" hidden="1" customWidth="1"/>
    <col min="4130" max="4130" width="21" style="213" customWidth="1"/>
    <col min="4131" max="4132" width="0" style="213" hidden="1" customWidth="1"/>
    <col min="4133" max="4133" width="15.85546875" style="213" customWidth="1"/>
    <col min="4134" max="4352" width="11.42578125" style="213"/>
    <col min="4353" max="4353" width="3.5703125" style="213" bestFit="1" customWidth="1"/>
    <col min="4354" max="4354" width="36.7109375" style="213" customWidth="1"/>
    <col min="4355" max="4364" width="0" style="213" hidden="1" customWidth="1"/>
    <col min="4365" max="4365" width="24.5703125" style="213" customWidth="1"/>
    <col min="4366" max="4366" width="21.85546875" style="213" customWidth="1"/>
    <col min="4367" max="4367" width="19.42578125" style="213" customWidth="1"/>
    <col min="4368" max="4368" width="20" style="213" customWidth="1"/>
    <col min="4369" max="4369" width="19.42578125" style="213" customWidth="1"/>
    <col min="4370" max="4370" width="20.140625" style="213" customWidth="1"/>
    <col min="4371" max="4371" width="23.140625" style="213" customWidth="1"/>
    <col min="4372" max="4385" width="0" style="213" hidden="1" customWidth="1"/>
    <col min="4386" max="4386" width="21" style="213" customWidth="1"/>
    <col min="4387" max="4388" width="0" style="213" hidden="1" customWidth="1"/>
    <col min="4389" max="4389" width="15.85546875" style="213" customWidth="1"/>
    <col min="4390" max="4608" width="11.42578125" style="213"/>
    <col min="4609" max="4609" width="3.5703125" style="213" bestFit="1" customWidth="1"/>
    <col min="4610" max="4610" width="36.7109375" style="213" customWidth="1"/>
    <col min="4611" max="4620" width="0" style="213" hidden="1" customWidth="1"/>
    <col min="4621" max="4621" width="24.5703125" style="213" customWidth="1"/>
    <col min="4622" max="4622" width="21.85546875" style="213" customWidth="1"/>
    <col min="4623" max="4623" width="19.42578125" style="213" customWidth="1"/>
    <col min="4624" max="4624" width="20" style="213" customWidth="1"/>
    <col min="4625" max="4625" width="19.42578125" style="213" customWidth="1"/>
    <col min="4626" max="4626" width="20.140625" style="213" customWidth="1"/>
    <col min="4627" max="4627" width="23.140625" style="213" customWidth="1"/>
    <col min="4628" max="4641" width="0" style="213" hidden="1" customWidth="1"/>
    <col min="4642" max="4642" width="21" style="213" customWidth="1"/>
    <col min="4643" max="4644" width="0" style="213" hidden="1" customWidth="1"/>
    <col min="4645" max="4645" width="15.85546875" style="213" customWidth="1"/>
    <col min="4646" max="4864" width="11.42578125" style="213"/>
    <col min="4865" max="4865" width="3.5703125" style="213" bestFit="1" customWidth="1"/>
    <col min="4866" max="4866" width="36.7109375" style="213" customWidth="1"/>
    <col min="4867" max="4876" width="0" style="213" hidden="1" customWidth="1"/>
    <col min="4877" max="4877" width="24.5703125" style="213" customWidth="1"/>
    <col min="4878" max="4878" width="21.85546875" style="213" customWidth="1"/>
    <col min="4879" max="4879" width="19.42578125" style="213" customWidth="1"/>
    <col min="4880" max="4880" width="20" style="213" customWidth="1"/>
    <col min="4881" max="4881" width="19.42578125" style="213" customWidth="1"/>
    <col min="4882" max="4882" width="20.140625" style="213" customWidth="1"/>
    <col min="4883" max="4883" width="23.140625" style="213" customWidth="1"/>
    <col min="4884" max="4897" width="0" style="213" hidden="1" customWidth="1"/>
    <col min="4898" max="4898" width="21" style="213" customWidth="1"/>
    <col min="4899" max="4900" width="0" style="213" hidden="1" customWidth="1"/>
    <col min="4901" max="4901" width="15.85546875" style="213" customWidth="1"/>
    <col min="4902" max="5120" width="11.42578125" style="213"/>
    <col min="5121" max="5121" width="3.5703125" style="213" bestFit="1" customWidth="1"/>
    <col min="5122" max="5122" width="36.7109375" style="213" customWidth="1"/>
    <col min="5123" max="5132" width="0" style="213" hidden="1" customWidth="1"/>
    <col min="5133" max="5133" width="24.5703125" style="213" customWidth="1"/>
    <col min="5134" max="5134" width="21.85546875" style="213" customWidth="1"/>
    <col min="5135" max="5135" width="19.42578125" style="213" customWidth="1"/>
    <col min="5136" max="5136" width="20" style="213" customWidth="1"/>
    <col min="5137" max="5137" width="19.42578125" style="213" customWidth="1"/>
    <col min="5138" max="5138" width="20.140625" style="213" customWidth="1"/>
    <col min="5139" max="5139" width="23.140625" style="213" customWidth="1"/>
    <col min="5140" max="5153" width="0" style="213" hidden="1" customWidth="1"/>
    <col min="5154" max="5154" width="21" style="213" customWidth="1"/>
    <col min="5155" max="5156" width="0" style="213" hidden="1" customWidth="1"/>
    <col min="5157" max="5157" width="15.85546875" style="213" customWidth="1"/>
    <col min="5158" max="5376" width="11.42578125" style="213"/>
    <col min="5377" max="5377" width="3.5703125" style="213" bestFit="1" customWidth="1"/>
    <col min="5378" max="5378" width="36.7109375" style="213" customWidth="1"/>
    <col min="5379" max="5388" width="0" style="213" hidden="1" customWidth="1"/>
    <col min="5389" max="5389" width="24.5703125" style="213" customWidth="1"/>
    <col min="5390" max="5390" width="21.85546875" style="213" customWidth="1"/>
    <col min="5391" max="5391" width="19.42578125" style="213" customWidth="1"/>
    <col min="5392" max="5392" width="20" style="213" customWidth="1"/>
    <col min="5393" max="5393" width="19.42578125" style="213" customWidth="1"/>
    <col min="5394" max="5394" width="20.140625" style="213" customWidth="1"/>
    <col min="5395" max="5395" width="23.140625" style="213" customWidth="1"/>
    <col min="5396" max="5409" width="0" style="213" hidden="1" customWidth="1"/>
    <col min="5410" max="5410" width="21" style="213" customWidth="1"/>
    <col min="5411" max="5412" width="0" style="213" hidden="1" customWidth="1"/>
    <col min="5413" max="5413" width="15.85546875" style="213" customWidth="1"/>
    <col min="5414" max="5632" width="11.42578125" style="213"/>
    <col min="5633" max="5633" width="3.5703125" style="213" bestFit="1" customWidth="1"/>
    <col min="5634" max="5634" width="36.7109375" style="213" customWidth="1"/>
    <col min="5635" max="5644" width="0" style="213" hidden="1" customWidth="1"/>
    <col min="5645" max="5645" width="24.5703125" style="213" customWidth="1"/>
    <col min="5646" max="5646" width="21.85546875" style="213" customWidth="1"/>
    <col min="5647" max="5647" width="19.42578125" style="213" customWidth="1"/>
    <col min="5648" max="5648" width="20" style="213" customWidth="1"/>
    <col min="5649" max="5649" width="19.42578125" style="213" customWidth="1"/>
    <col min="5650" max="5650" width="20.140625" style="213" customWidth="1"/>
    <col min="5651" max="5651" width="23.140625" style="213" customWidth="1"/>
    <col min="5652" max="5665" width="0" style="213" hidden="1" customWidth="1"/>
    <col min="5666" max="5666" width="21" style="213" customWidth="1"/>
    <col min="5667" max="5668" width="0" style="213" hidden="1" customWidth="1"/>
    <col min="5669" max="5669" width="15.85546875" style="213" customWidth="1"/>
    <col min="5670" max="5888" width="11.42578125" style="213"/>
    <col min="5889" max="5889" width="3.5703125" style="213" bestFit="1" customWidth="1"/>
    <col min="5890" max="5890" width="36.7109375" style="213" customWidth="1"/>
    <col min="5891" max="5900" width="0" style="213" hidden="1" customWidth="1"/>
    <col min="5901" max="5901" width="24.5703125" style="213" customWidth="1"/>
    <col min="5902" max="5902" width="21.85546875" style="213" customWidth="1"/>
    <col min="5903" max="5903" width="19.42578125" style="213" customWidth="1"/>
    <col min="5904" max="5904" width="20" style="213" customWidth="1"/>
    <col min="5905" max="5905" width="19.42578125" style="213" customWidth="1"/>
    <col min="5906" max="5906" width="20.140625" style="213" customWidth="1"/>
    <col min="5907" max="5907" width="23.140625" style="213" customWidth="1"/>
    <col min="5908" max="5921" width="0" style="213" hidden="1" customWidth="1"/>
    <col min="5922" max="5922" width="21" style="213" customWidth="1"/>
    <col min="5923" max="5924" width="0" style="213" hidden="1" customWidth="1"/>
    <col min="5925" max="5925" width="15.85546875" style="213" customWidth="1"/>
    <col min="5926" max="6144" width="11.42578125" style="213"/>
    <col min="6145" max="6145" width="3.5703125" style="213" bestFit="1" customWidth="1"/>
    <col min="6146" max="6146" width="36.7109375" style="213" customWidth="1"/>
    <col min="6147" max="6156" width="0" style="213" hidden="1" customWidth="1"/>
    <col min="6157" max="6157" width="24.5703125" style="213" customWidth="1"/>
    <col min="6158" max="6158" width="21.85546875" style="213" customWidth="1"/>
    <col min="6159" max="6159" width="19.42578125" style="213" customWidth="1"/>
    <col min="6160" max="6160" width="20" style="213" customWidth="1"/>
    <col min="6161" max="6161" width="19.42578125" style="213" customWidth="1"/>
    <col min="6162" max="6162" width="20.140625" style="213" customWidth="1"/>
    <col min="6163" max="6163" width="23.140625" style="213" customWidth="1"/>
    <col min="6164" max="6177" width="0" style="213" hidden="1" customWidth="1"/>
    <col min="6178" max="6178" width="21" style="213" customWidth="1"/>
    <col min="6179" max="6180" width="0" style="213" hidden="1" customWidth="1"/>
    <col min="6181" max="6181" width="15.85546875" style="213" customWidth="1"/>
    <col min="6182" max="6400" width="11.42578125" style="213"/>
    <col min="6401" max="6401" width="3.5703125" style="213" bestFit="1" customWidth="1"/>
    <col min="6402" max="6402" width="36.7109375" style="213" customWidth="1"/>
    <col min="6403" max="6412" width="0" style="213" hidden="1" customWidth="1"/>
    <col min="6413" max="6413" width="24.5703125" style="213" customWidth="1"/>
    <col min="6414" max="6414" width="21.85546875" style="213" customWidth="1"/>
    <col min="6415" max="6415" width="19.42578125" style="213" customWidth="1"/>
    <col min="6416" max="6416" width="20" style="213" customWidth="1"/>
    <col min="6417" max="6417" width="19.42578125" style="213" customWidth="1"/>
    <col min="6418" max="6418" width="20.140625" style="213" customWidth="1"/>
    <col min="6419" max="6419" width="23.140625" style="213" customWidth="1"/>
    <col min="6420" max="6433" width="0" style="213" hidden="1" customWidth="1"/>
    <col min="6434" max="6434" width="21" style="213" customWidth="1"/>
    <col min="6435" max="6436" width="0" style="213" hidden="1" customWidth="1"/>
    <col min="6437" max="6437" width="15.85546875" style="213" customWidth="1"/>
    <col min="6438" max="6656" width="11.42578125" style="213"/>
    <col min="6657" max="6657" width="3.5703125" style="213" bestFit="1" customWidth="1"/>
    <col min="6658" max="6658" width="36.7109375" style="213" customWidth="1"/>
    <col min="6659" max="6668" width="0" style="213" hidden="1" customWidth="1"/>
    <col min="6669" max="6669" width="24.5703125" style="213" customWidth="1"/>
    <col min="6670" max="6670" width="21.85546875" style="213" customWidth="1"/>
    <col min="6671" max="6671" width="19.42578125" style="213" customWidth="1"/>
    <col min="6672" max="6672" width="20" style="213" customWidth="1"/>
    <col min="6673" max="6673" width="19.42578125" style="213" customWidth="1"/>
    <col min="6674" max="6674" width="20.140625" style="213" customWidth="1"/>
    <col min="6675" max="6675" width="23.140625" style="213" customWidth="1"/>
    <col min="6676" max="6689" width="0" style="213" hidden="1" customWidth="1"/>
    <col min="6690" max="6690" width="21" style="213" customWidth="1"/>
    <col min="6691" max="6692" width="0" style="213" hidden="1" customWidth="1"/>
    <col min="6693" max="6693" width="15.85546875" style="213" customWidth="1"/>
    <col min="6694" max="6912" width="11.42578125" style="213"/>
    <col min="6913" max="6913" width="3.5703125" style="213" bestFit="1" customWidth="1"/>
    <col min="6914" max="6914" width="36.7109375" style="213" customWidth="1"/>
    <col min="6915" max="6924" width="0" style="213" hidden="1" customWidth="1"/>
    <col min="6925" max="6925" width="24.5703125" style="213" customWidth="1"/>
    <col min="6926" max="6926" width="21.85546875" style="213" customWidth="1"/>
    <col min="6927" max="6927" width="19.42578125" style="213" customWidth="1"/>
    <col min="6928" max="6928" width="20" style="213" customWidth="1"/>
    <col min="6929" max="6929" width="19.42578125" style="213" customWidth="1"/>
    <col min="6930" max="6930" width="20.140625" style="213" customWidth="1"/>
    <col min="6931" max="6931" width="23.140625" style="213" customWidth="1"/>
    <col min="6932" max="6945" width="0" style="213" hidden="1" customWidth="1"/>
    <col min="6946" max="6946" width="21" style="213" customWidth="1"/>
    <col min="6947" max="6948" width="0" style="213" hidden="1" customWidth="1"/>
    <col min="6949" max="6949" width="15.85546875" style="213" customWidth="1"/>
    <col min="6950" max="7168" width="11.42578125" style="213"/>
    <col min="7169" max="7169" width="3.5703125" style="213" bestFit="1" customWidth="1"/>
    <col min="7170" max="7170" width="36.7109375" style="213" customWidth="1"/>
    <col min="7171" max="7180" width="0" style="213" hidden="1" customWidth="1"/>
    <col min="7181" max="7181" width="24.5703125" style="213" customWidth="1"/>
    <col min="7182" max="7182" width="21.85546875" style="213" customWidth="1"/>
    <col min="7183" max="7183" width="19.42578125" style="213" customWidth="1"/>
    <col min="7184" max="7184" width="20" style="213" customWidth="1"/>
    <col min="7185" max="7185" width="19.42578125" style="213" customWidth="1"/>
    <col min="7186" max="7186" width="20.140625" style="213" customWidth="1"/>
    <col min="7187" max="7187" width="23.140625" style="213" customWidth="1"/>
    <col min="7188" max="7201" width="0" style="213" hidden="1" customWidth="1"/>
    <col min="7202" max="7202" width="21" style="213" customWidth="1"/>
    <col min="7203" max="7204" width="0" style="213" hidden="1" customWidth="1"/>
    <col min="7205" max="7205" width="15.85546875" style="213" customWidth="1"/>
    <col min="7206" max="7424" width="11.42578125" style="213"/>
    <col min="7425" max="7425" width="3.5703125" style="213" bestFit="1" customWidth="1"/>
    <col min="7426" max="7426" width="36.7109375" style="213" customWidth="1"/>
    <col min="7427" max="7436" width="0" style="213" hidden="1" customWidth="1"/>
    <col min="7437" max="7437" width="24.5703125" style="213" customWidth="1"/>
    <col min="7438" max="7438" width="21.85546875" style="213" customWidth="1"/>
    <col min="7439" max="7439" width="19.42578125" style="213" customWidth="1"/>
    <col min="7440" max="7440" width="20" style="213" customWidth="1"/>
    <col min="7441" max="7441" width="19.42578125" style="213" customWidth="1"/>
    <col min="7442" max="7442" width="20.140625" style="213" customWidth="1"/>
    <col min="7443" max="7443" width="23.140625" style="213" customWidth="1"/>
    <col min="7444" max="7457" width="0" style="213" hidden="1" customWidth="1"/>
    <col min="7458" max="7458" width="21" style="213" customWidth="1"/>
    <col min="7459" max="7460" width="0" style="213" hidden="1" customWidth="1"/>
    <col min="7461" max="7461" width="15.85546875" style="213" customWidth="1"/>
    <col min="7462" max="7680" width="11.42578125" style="213"/>
    <col min="7681" max="7681" width="3.5703125" style="213" bestFit="1" customWidth="1"/>
    <col min="7682" max="7682" width="36.7109375" style="213" customWidth="1"/>
    <col min="7683" max="7692" width="0" style="213" hidden="1" customWidth="1"/>
    <col min="7693" max="7693" width="24.5703125" style="213" customWidth="1"/>
    <col min="7694" max="7694" width="21.85546875" style="213" customWidth="1"/>
    <col min="7695" max="7695" width="19.42578125" style="213" customWidth="1"/>
    <col min="7696" max="7696" width="20" style="213" customWidth="1"/>
    <col min="7697" max="7697" width="19.42578125" style="213" customWidth="1"/>
    <col min="7698" max="7698" width="20.140625" style="213" customWidth="1"/>
    <col min="7699" max="7699" width="23.140625" style="213" customWidth="1"/>
    <col min="7700" max="7713" width="0" style="213" hidden="1" customWidth="1"/>
    <col min="7714" max="7714" width="21" style="213" customWidth="1"/>
    <col min="7715" max="7716" width="0" style="213" hidden="1" customWidth="1"/>
    <col min="7717" max="7717" width="15.85546875" style="213" customWidth="1"/>
    <col min="7718" max="7936" width="11.42578125" style="213"/>
    <col min="7937" max="7937" width="3.5703125" style="213" bestFit="1" customWidth="1"/>
    <col min="7938" max="7938" width="36.7109375" style="213" customWidth="1"/>
    <col min="7939" max="7948" width="0" style="213" hidden="1" customWidth="1"/>
    <col min="7949" max="7949" width="24.5703125" style="213" customWidth="1"/>
    <col min="7950" max="7950" width="21.85546875" style="213" customWidth="1"/>
    <col min="7951" max="7951" width="19.42578125" style="213" customWidth="1"/>
    <col min="7952" max="7952" width="20" style="213" customWidth="1"/>
    <col min="7953" max="7953" width="19.42578125" style="213" customWidth="1"/>
    <col min="7954" max="7954" width="20.140625" style="213" customWidth="1"/>
    <col min="7955" max="7955" width="23.140625" style="213" customWidth="1"/>
    <col min="7956" max="7969" width="0" style="213" hidden="1" customWidth="1"/>
    <col min="7970" max="7970" width="21" style="213" customWidth="1"/>
    <col min="7971" max="7972" width="0" style="213" hidden="1" customWidth="1"/>
    <col min="7973" max="7973" width="15.85546875" style="213" customWidth="1"/>
    <col min="7974" max="8192" width="11.42578125" style="213"/>
    <col min="8193" max="8193" width="3.5703125" style="213" bestFit="1" customWidth="1"/>
    <col min="8194" max="8194" width="36.7109375" style="213" customWidth="1"/>
    <col min="8195" max="8204" width="0" style="213" hidden="1" customWidth="1"/>
    <col min="8205" max="8205" width="24.5703125" style="213" customWidth="1"/>
    <col min="8206" max="8206" width="21.85546875" style="213" customWidth="1"/>
    <col min="8207" max="8207" width="19.42578125" style="213" customWidth="1"/>
    <col min="8208" max="8208" width="20" style="213" customWidth="1"/>
    <col min="8209" max="8209" width="19.42578125" style="213" customWidth="1"/>
    <col min="8210" max="8210" width="20.140625" style="213" customWidth="1"/>
    <col min="8211" max="8211" width="23.140625" style="213" customWidth="1"/>
    <col min="8212" max="8225" width="0" style="213" hidden="1" customWidth="1"/>
    <col min="8226" max="8226" width="21" style="213" customWidth="1"/>
    <col min="8227" max="8228" width="0" style="213" hidden="1" customWidth="1"/>
    <col min="8229" max="8229" width="15.85546875" style="213" customWidth="1"/>
    <col min="8230" max="8448" width="11.42578125" style="213"/>
    <col min="8449" max="8449" width="3.5703125" style="213" bestFit="1" customWidth="1"/>
    <col min="8450" max="8450" width="36.7109375" style="213" customWidth="1"/>
    <col min="8451" max="8460" width="0" style="213" hidden="1" customWidth="1"/>
    <col min="8461" max="8461" width="24.5703125" style="213" customWidth="1"/>
    <col min="8462" max="8462" width="21.85546875" style="213" customWidth="1"/>
    <col min="8463" max="8463" width="19.42578125" style="213" customWidth="1"/>
    <col min="8464" max="8464" width="20" style="213" customWidth="1"/>
    <col min="8465" max="8465" width="19.42578125" style="213" customWidth="1"/>
    <col min="8466" max="8466" width="20.140625" style="213" customWidth="1"/>
    <col min="8467" max="8467" width="23.140625" style="213" customWidth="1"/>
    <col min="8468" max="8481" width="0" style="213" hidden="1" customWidth="1"/>
    <col min="8482" max="8482" width="21" style="213" customWidth="1"/>
    <col min="8483" max="8484" width="0" style="213" hidden="1" customWidth="1"/>
    <col min="8485" max="8485" width="15.85546875" style="213" customWidth="1"/>
    <col min="8486" max="8704" width="11.42578125" style="213"/>
    <col min="8705" max="8705" width="3.5703125" style="213" bestFit="1" customWidth="1"/>
    <col min="8706" max="8706" width="36.7109375" style="213" customWidth="1"/>
    <col min="8707" max="8716" width="0" style="213" hidden="1" customWidth="1"/>
    <col min="8717" max="8717" width="24.5703125" style="213" customWidth="1"/>
    <col min="8718" max="8718" width="21.85546875" style="213" customWidth="1"/>
    <col min="8719" max="8719" width="19.42578125" style="213" customWidth="1"/>
    <col min="8720" max="8720" width="20" style="213" customWidth="1"/>
    <col min="8721" max="8721" width="19.42578125" style="213" customWidth="1"/>
    <col min="8722" max="8722" width="20.140625" style="213" customWidth="1"/>
    <col min="8723" max="8723" width="23.140625" style="213" customWidth="1"/>
    <col min="8724" max="8737" width="0" style="213" hidden="1" customWidth="1"/>
    <col min="8738" max="8738" width="21" style="213" customWidth="1"/>
    <col min="8739" max="8740" width="0" style="213" hidden="1" customWidth="1"/>
    <col min="8741" max="8741" width="15.85546875" style="213" customWidth="1"/>
    <col min="8742" max="8960" width="11.42578125" style="213"/>
    <col min="8961" max="8961" width="3.5703125" style="213" bestFit="1" customWidth="1"/>
    <col min="8962" max="8962" width="36.7109375" style="213" customWidth="1"/>
    <col min="8963" max="8972" width="0" style="213" hidden="1" customWidth="1"/>
    <col min="8973" max="8973" width="24.5703125" style="213" customWidth="1"/>
    <col min="8974" max="8974" width="21.85546875" style="213" customWidth="1"/>
    <col min="8975" max="8975" width="19.42578125" style="213" customWidth="1"/>
    <col min="8976" max="8976" width="20" style="213" customWidth="1"/>
    <col min="8977" max="8977" width="19.42578125" style="213" customWidth="1"/>
    <col min="8978" max="8978" width="20.140625" style="213" customWidth="1"/>
    <col min="8979" max="8979" width="23.140625" style="213" customWidth="1"/>
    <col min="8980" max="8993" width="0" style="213" hidden="1" customWidth="1"/>
    <col min="8994" max="8994" width="21" style="213" customWidth="1"/>
    <col min="8995" max="8996" width="0" style="213" hidden="1" customWidth="1"/>
    <col min="8997" max="8997" width="15.85546875" style="213" customWidth="1"/>
    <col min="8998" max="9216" width="11.42578125" style="213"/>
    <col min="9217" max="9217" width="3.5703125" style="213" bestFit="1" customWidth="1"/>
    <col min="9218" max="9218" width="36.7109375" style="213" customWidth="1"/>
    <col min="9219" max="9228" width="0" style="213" hidden="1" customWidth="1"/>
    <col min="9229" max="9229" width="24.5703125" style="213" customWidth="1"/>
    <col min="9230" max="9230" width="21.85546875" style="213" customWidth="1"/>
    <col min="9231" max="9231" width="19.42578125" style="213" customWidth="1"/>
    <col min="9232" max="9232" width="20" style="213" customWidth="1"/>
    <col min="9233" max="9233" width="19.42578125" style="213" customWidth="1"/>
    <col min="9234" max="9234" width="20.140625" style="213" customWidth="1"/>
    <col min="9235" max="9235" width="23.140625" style="213" customWidth="1"/>
    <col min="9236" max="9249" width="0" style="213" hidden="1" customWidth="1"/>
    <col min="9250" max="9250" width="21" style="213" customWidth="1"/>
    <col min="9251" max="9252" width="0" style="213" hidden="1" customWidth="1"/>
    <col min="9253" max="9253" width="15.85546875" style="213" customWidth="1"/>
    <col min="9254" max="9472" width="11.42578125" style="213"/>
    <col min="9473" max="9473" width="3.5703125" style="213" bestFit="1" customWidth="1"/>
    <col min="9474" max="9474" width="36.7109375" style="213" customWidth="1"/>
    <col min="9475" max="9484" width="0" style="213" hidden="1" customWidth="1"/>
    <col min="9485" max="9485" width="24.5703125" style="213" customWidth="1"/>
    <col min="9486" max="9486" width="21.85546875" style="213" customWidth="1"/>
    <col min="9487" max="9487" width="19.42578125" style="213" customWidth="1"/>
    <col min="9488" max="9488" width="20" style="213" customWidth="1"/>
    <col min="9489" max="9489" width="19.42578125" style="213" customWidth="1"/>
    <col min="9490" max="9490" width="20.140625" style="213" customWidth="1"/>
    <col min="9491" max="9491" width="23.140625" style="213" customWidth="1"/>
    <col min="9492" max="9505" width="0" style="213" hidden="1" customWidth="1"/>
    <col min="9506" max="9506" width="21" style="213" customWidth="1"/>
    <col min="9507" max="9508" width="0" style="213" hidden="1" customWidth="1"/>
    <col min="9509" max="9509" width="15.85546875" style="213" customWidth="1"/>
    <col min="9510" max="9728" width="11.42578125" style="213"/>
    <col min="9729" max="9729" width="3.5703125" style="213" bestFit="1" customWidth="1"/>
    <col min="9730" max="9730" width="36.7109375" style="213" customWidth="1"/>
    <col min="9731" max="9740" width="0" style="213" hidden="1" customWidth="1"/>
    <col min="9741" max="9741" width="24.5703125" style="213" customWidth="1"/>
    <col min="9742" max="9742" width="21.85546875" style="213" customWidth="1"/>
    <col min="9743" max="9743" width="19.42578125" style="213" customWidth="1"/>
    <col min="9744" max="9744" width="20" style="213" customWidth="1"/>
    <col min="9745" max="9745" width="19.42578125" style="213" customWidth="1"/>
    <col min="9746" max="9746" width="20.140625" style="213" customWidth="1"/>
    <col min="9747" max="9747" width="23.140625" style="213" customWidth="1"/>
    <col min="9748" max="9761" width="0" style="213" hidden="1" customWidth="1"/>
    <col min="9762" max="9762" width="21" style="213" customWidth="1"/>
    <col min="9763" max="9764" width="0" style="213" hidden="1" customWidth="1"/>
    <col min="9765" max="9765" width="15.85546875" style="213" customWidth="1"/>
    <col min="9766" max="9984" width="11.42578125" style="213"/>
    <col min="9985" max="9985" width="3.5703125" style="213" bestFit="1" customWidth="1"/>
    <col min="9986" max="9986" width="36.7109375" style="213" customWidth="1"/>
    <col min="9987" max="9996" width="0" style="213" hidden="1" customWidth="1"/>
    <col min="9997" max="9997" width="24.5703125" style="213" customWidth="1"/>
    <col min="9998" max="9998" width="21.85546875" style="213" customWidth="1"/>
    <col min="9999" max="9999" width="19.42578125" style="213" customWidth="1"/>
    <col min="10000" max="10000" width="20" style="213" customWidth="1"/>
    <col min="10001" max="10001" width="19.42578125" style="213" customWidth="1"/>
    <col min="10002" max="10002" width="20.140625" style="213" customWidth="1"/>
    <col min="10003" max="10003" width="23.140625" style="213" customWidth="1"/>
    <col min="10004" max="10017" width="0" style="213" hidden="1" customWidth="1"/>
    <col min="10018" max="10018" width="21" style="213" customWidth="1"/>
    <col min="10019" max="10020" width="0" style="213" hidden="1" customWidth="1"/>
    <col min="10021" max="10021" width="15.85546875" style="213" customWidth="1"/>
    <col min="10022" max="10240" width="11.42578125" style="213"/>
    <col min="10241" max="10241" width="3.5703125" style="213" bestFit="1" customWidth="1"/>
    <col min="10242" max="10242" width="36.7109375" style="213" customWidth="1"/>
    <col min="10243" max="10252" width="0" style="213" hidden="1" customWidth="1"/>
    <col min="10253" max="10253" width="24.5703125" style="213" customWidth="1"/>
    <col min="10254" max="10254" width="21.85546875" style="213" customWidth="1"/>
    <col min="10255" max="10255" width="19.42578125" style="213" customWidth="1"/>
    <col min="10256" max="10256" width="20" style="213" customWidth="1"/>
    <col min="10257" max="10257" width="19.42578125" style="213" customWidth="1"/>
    <col min="10258" max="10258" width="20.140625" style="213" customWidth="1"/>
    <col min="10259" max="10259" width="23.140625" style="213" customWidth="1"/>
    <col min="10260" max="10273" width="0" style="213" hidden="1" customWidth="1"/>
    <col min="10274" max="10274" width="21" style="213" customWidth="1"/>
    <col min="10275" max="10276" width="0" style="213" hidden="1" customWidth="1"/>
    <col min="10277" max="10277" width="15.85546875" style="213" customWidth="1"/>
    <col min="10278" max="10496" width="11.42578125" style="213"/>
    <col min="10497" max="10497" width="3.5703125" style="213" bestFit="1" customWidth="1"/>
    <col min="10498" max="10498" width="36.7109375" style="213" customWidth="1"/>
    <col min="10499" max="10508" width="0" style="213" hidden="1" customWidth="1"/>
    <col min="10509" max="10509" width="24.5703125" style="213" customWidth="1"/>
    <col min="10510" max="10510" width="21.85546875" style="213" customWidth="1"/>
    <col min="10511" max="10511" width="19.42578125" style="213" customWidth="1"/>
    <col min="10512" max="10512" width="20" style="213" customWidth="1"/>
    <col min="10513" max="10513" width="19.42578125" style="213" customWidth="1"/>
    <col min="10514" max="10514" width="20.140625" style="213" customWidth="1"/>
    <col min="10515" max="10515" width="23.140625" style="213" customWidth="1"/>
    <col min="10516" max="10529" width="0" style="213" hidden="1" customWidth="1"/>
    <col min="10530" max="10530" width="21" style="213" customWidth="1"/>
    <col min="10531" max="10532" width="0" style="213" hidden="1" customWidth="1"/>
    <col min="10533" max="10533" width="15.85546875" style="213" customWidth="1"/>
    <col min="10534" max="10752" width="11.42578125" style="213"/>
    <col min="10753" max="10753" width="3.5703125" style="213" bestFit="1" customWidth="1"/>
    <col min="10754" max="10754" width="36.7109375" style="213" customWidth="1"/>
    <col min="10755" max="10764" width="0" style="213" hidden="1" customWidth="1"/>
    <col min="10765" max="10765" width="24.5703125" style="213" customWidth="1"/>
    <col min="10766" max="10766" width="21.85546875" style="213" customWidth="1"/>
    <col min="10767" max="10767" width="19.42578125" style="213" customWidth="1"/>
    <col min="10768" max="10768" width="20" style="213" customWidth="1"/>
    <col min="10769" max="10769" width="19.42578125" style="213" customWidth="1"/>
    <col min="10770" max="10770" width="20.140625" style="213" customWidth="1"/>
    <col min="10771" max="10771" width="23.140625" style="213" customWidth="1"/>
    <col min="10772" max="10785" width="0" style="213" hidden="1" customWidth="1"/>
    <col min="10786" max="10786" width="21" style="213" customWidth="1"/>
    <col min="10787" max="10788" width="0" style="213" hidden="1" customWidth="1"/>
    <col min="10789" max="10789" width="15.85546875" style="213" customWidth="1"/>
    <col min="10790" max="11008" width="11.42578125" style="213"/>
    <col min="11009" max="11009" width="3.5703125" style="213" bestFit="1" customWidth="1"/>
    <col min="11010" max="11010" width="36.7109375" style="213" customWidth="1"/>
    <col min="11011" max="11020" width="0" style="213" hidden="1" customWidth="1"/>
    <col min="11021" max="11021" width="24.5703125" style="213" customWidth="1"/>
    <col min="11022" max="11022" width="21.85546875" style="213" customWidth="1"/>
    <col min="11023" max="11023" width="19.42578125" style="213" customWidth="1"/>
    <col min="11024" max="11024" width="20" style="213" customWidth="1"/>
    <col min="11025" max="11025" width="19.42578125" style="213" customWidth="1"/>
    <col min="11026" max="11026" width="20.140625" style="213" customWidth="1"/>
    <col min="11027" max="11027" width="23.140625" style="213" customWidth="1"/>
    <col min="11028" max="11041" width="0" style="213" hidden="1" customWidth="1"/>
    <col min="11042" max="11042" width="21" style="213" customWidth="1"/>
    <col min="11043" max="11044" width="0" style="213" hidden="1" customWidth="1"/>
    <col min="11045" max="11045" width="15.85546875" style="213" customWidth="1"/>
    <col min="11046" max="11264" width="11.42578125" style="213"/>
    <col min="11265" max="11265" width="3.5703125" style="213" bestFit="1" customWidth="1"/>
    <col min="11266" max="11266" width="36.7109375" style="213" customWidth="1"/>
    <col min="11267" max="11276" width="0" style="213" hidden="1" customWidth="1"/>
    <col min="11277" max="11277" width="24.5703125" style="213" customWidth="1"/>
    <col min="11278" max="11278" width="21.85546875" style="213" customWidth="1"/>
    <col min="11279" max="11279" width="19.42578125" style="213" customWidth="1"/>
    <col min="11280" max="11280" width="20" style="213" customWidth="1"/>
    <col min="11281" max="11281" width="19.42578125" style="213" customWidth="1"/>
    <col min="11282" max="11282" width="20.140625" style="213" customWidth="1"/>
    <col min="11283" max="11283" width="23.140625" style="213" customWidth="1"/>
    <col min="11284" max="11297" width="0" style="213" hidden="1" customWidth="1"/>
    <col min="11298" max="11298" width="21" style="213" customWidth="1"/>
    <col min="11299" max="11300" width="0" style="213" hidden="1" customWidth="1"/>
    <col min="11301" max="11301" width="15.85546875" style="213" customWidth="1"/>
    <col min="11302" max="11520" width="11.42578125" style="213"/>
    <col min="11521" max="11521" width="3.5703125" style="213" bestFit="1" customWidth="1"/>
    <col min="11522" max="11522" width="36.7109375" style="213" customWidth="1"/>
    <col min="11523" max="11532" width="0" style="213" hidden="1" customWidth="1"/>
    <col min="11533" max="11533" width="24.5703125" style="213" customWidth="1"/>
    <col min="11534" max="11534" width="21.85546875" style="213" customWidth="1"/>
    <col min="11535" max="11535" width="19.42578125" style="213" customWidth="1"/>
    <col min="11536" max="11536" width="20" style="213" customWidth="1"/>
    <col min="11537" max="11537" width="19.42578125" style="213" customWidth="1"/>
    <col min="11538" max="11538" width="20.140625" style="213" customWidth="1"/>
    <col min="11539" max="11539" width="23.140625" style="213" customWidth="1"/>
    <col min="11540" max="11553" width="0" style="213" hidden="1" customWidth="1"/>
    <col min="11554" max="11554" width="21" style="213" customWidth="1"/>
    <col min="11555" max="11556" width="0" style="213" hidden="1" customWidth="1"/>
    <col min="11557" max="11557" width="15.85546875" style="213" customWidth="1"/>
    <col min="11558" max="11776" width="11.42578125" style="213"/>
    <col min="11777" max="11777" width="3.5703125" style="213" bestFit="1" customWidth="1"/>
    <col min="11778" max="11778" width="36.7109375" style="213" customWidth="1"/>
    <col min="11779" max="11788" width="0" style="213" hidden="1" customWidth="1"/>
    <col min="11789" max="11789" width="24.5703125" style="213" customWidth="1"/>
    <col min="11790" max="11790" width="21.85546875" style="213" customWidth="1"/>
    <col min="11791" max="11791" width="19.42578125" style="213" customWidth="1"/>
    <col min="11792" max="11792" width="20" style="213" customWidth="1"/>
    <col min="11793" max="11793" width="19.42578125" style="213" customWidth="1"/>
    <col min="11794" max="11794" width="20.140625" style="213" customWidth="1"/>
    <col min="11795" max="11795" width="23.140625" style="213" customWidth="1"/>
    <col min="11796" max="11809" width="0" style="213" hidden="1" customWidth="1"/>
    <col min="11810" max="11810" width="21" style="213" customWidth="1"/>
    <col min="11811" max="11812" width="0" style="213" hidden="1" customWidth="1"/>
    <col min="11813" max="11813" width="15.85546875" style="213" customWidth="1"/>
    <col min="11814" max="12032" width="11.42578125" style="213"/>
    <col min="12033" max="12033" width="3.5703125" style="213" bestFit="1" customWidth="1"/>
    <col min="12034" max="12034" width="36.7109375" style="213" customWidth="1"/>
    <col min="12035" max="12044" width="0" style="213" hidden="1" customWidth="1"/>
    <col min="12045" max="12045" width="24.5703125" style="213" customWidth="1"/>
    <col min="12046" max="12046" width="21.85546875" style="213" customWidth="1"/>
    <col min="12047" max="12047" width="19.42578125" style="213" customWidth="1"/>
    <col min="12048" max="12048" width="20" style="213" customWidth="1"/>
    <col min="12049" max="12049" width="19.42578125" style="213" customWidth="1"/>
    <col min="12050" max="12050" width="20.140625" style="213" customWidth="1"/>
    <col min="12051" max="12051" width="23.140625" style="213" customWidth="1"/>
    <col min="12052" max="12065" width="0" style="213" hidden="1" customWidth="1"/>
    <col min="12066" max="12066" width="21" style="213" customWidth="1"/>
    <col min="12067" max="12068" width="0" style="213" hidden="1" customWidth="1"/>
    <col min="12069" max="12069" width="15.85546875" style="213" customWidth="1"/>
    <col min="12070" max="12288" width="11.42578125" style="213"/>
    <col min="12289" max="12289" width="3.5703125" style="213" bestFit="1" customWidth="1"/>
    <col min="12290" max="12290" width="36.7109375" style="213" customWidth="1"/>
    <col min="12291" max="12300" width="0" style="213" hidden="1" customWidth="1"/>
    <col min="12301" max="12301" width="24.5703125" style="213" customWidth="1"/>
    <col min="12302" max="12302" width="21.85546875" style="213" customWidth="1"/>
    <col min="12303" max="12303" width="19.42578125" style="213" customWidth="1"/>
    <col min="12304" max="12304" width="20" style="213" customWidth="1"/>
    <col min="12305" max="12305" width="19.42578125" style="213" customWidth="1"/>
    <col min="12306" max="12306" width="20.140625" style="213" customWidth="1"/>
    <col min="12307" max="12307" width="23.140625" style="213" customWidth="1"/>
    <col min="12308" max="12321" width="0" style="213" hidden="1" customWidth="1"/>
    <col min="12322" max="12322" width="21" style="213" customWidth="1"/>
    <col min="12323" max="12324" width="0" style="213" hidden="1" customWidth="1"/>
    <col min="12325" max="12325" width="15.85546875" style="213" customWidth="1"/>
    <col min="12326" max="12544" width="11.42578125" style="213"/>
    <col min="12545" max="12545" width="3.5703125" style="213" bestFit="1" customWidth="1"/>
    <col min="12546" max="12546" width="36.7109375" style="213" customWidth="1"/>
    <col min="12547" max="12556" width="0" style="213" hidden="1" customWidth="1"/>
    <col min="12557" max="12557" width="24.5703125" style="213" customWidth="1"/>
    <col min="12558" max="12558" width="21.85546875" style="213" customWidth="1"/>
    <col min="12559" max="12559" width="19.42578125" style="213" customWidth="1"/>
    <col min="12560" max="12560" width="20" style="213" customWidth="1"/>
    <col min="12561" max="12561" width="19.42578125" style="213" customWidth="1"/>
    <col min="12562" max="12562" width="20.140625" style="213" customWidth="1"/>
    <col min="12563" max="12563" width="23.140625" style="213" customWidth="1"/>
    <col min="12564" max="12577" width="0" style="213" hidden="1" customWidth="1"/>
    <col min="12578" max="12578" width="21" style="213" customWidth="1"/>
    <col min="12579" max="12580" width="0" style="213" hidden="1" customWidth="1"/>
    <col min="12581" max="12581" width="15.85546875" style="213" customWidth="1"/>
    <col min="12582" max="12800" width="11.42578125" style="213"/>
    <col min="12801" max="12801" width="3.5703125" style="213" bestFit="1" customWidth="1"/>
    <col min="12802" max="12802" width="36.7109375" style="213" customWidth="1"/>
    <col min="12803" max="12812" width="0" style="213" hidden="1" customWidth="1"/>
    <col min="12813" max="12813" width="24.5703125" style="213" customWidth="1"/>
    <col min="12814" max="12814" width="21.85546875" style="213" customWidth="1"/>
    <col min="12815" max="12815" width="19.42578125" style="213" customWidth="1"/>
    <col min="12816" max="12816" width="20" style="213" customWidth="1"/>
    <col min="12817" max="12817" width="19.42578125" style="213" customWidth="1"/>
    <col min="12818" max="12818" width="20.140625" style="213" customWidth="1"/>
    <col min="12819" max="12819" width="23.140625" style="213" customWidth="1"/>
    <col min="12820" max="12833" width="0" style="213" hidden="1" customWidth="1"/>
    <col min="12834" max="12834" width="21" style="213" customWidth="1"/>
    <col min="12835" max="12836" width="0" style="213" hidden="1" customWidth="1"/>
    <col min="12837" max="12837" width="15.85546875" style="213" customWidth="1"/>
    <col min="12838" max="13056" width="11.42578125" style="213"/>
    <col min="13057" max="13057" width="3.5703125" style="213" bestFit="1" customWidth="1"/>
    <col min="13058" max="13058" width="36.7109375" style="213" customWidth="1"/>
    <col min="13059" max="13068" width="0" style="213" hidden="1" customWidth="1"/>
    <col min="13069" max="13069" width="24.5703125" style="213" customWidth="1"/>
    <col min="13070" max="13070" width="21.85546875" style="213" customWidth="1"/>
    <col min="13071" max="13071" width="19.42578125" style="213" customWidth="1"/>
    <col min="13072" max="13072" width="20" style="213" customWidth="1"/>
    <col min="13073" max="13073" width="19.42578125" style="213" customWidth="1"/>
    <col min="13074" max="13074" width="20.140625" style="213" customWidth="1"/>
    <col min="13075" max="13075" width="23.140625" style="213" customWidth="1"/>
    <col min="13076" max="13089" width="0" style="213" hidden="1" customWidth="1"/>
    <col min="13090" max="13090" width="21" style="213" customWidth="1"/>
    <col min="13091" max="13092" width="0" style="213" hidden="1" customWidth="1"/>
    <col min="13093" max="13093" width="15.85546875" style="213" customWidth="1"/>
    <col min="13094" max="13312" width="11.42578125" style="213"/>
    <col min="13313" max="13313" width="3.5703125" style="213" bestFit="1" customWidth="1"/>
    <col min="13314" max="13314" width="36.7109375" style="213" customWidth="1"/>
    <col min="13315" max="13324" width="0" style="213" hidden="1" customWidth="1"/>
    <col min="13325" max="13325" width="24.5703125" style="213" customWidth="1"/>
    <col min="13326" max="13326" width="21.85546875" style="213" customWidth="1"/>
    <col min="13327" max="13327" width="19.42578125" style="213" customWidth="1"/>
    <col min="13328" max="13328" width="20" style="213" customWidth="1"/>
    <col min="13329" max="13329" width="19.42578125" style="213" customWidth="1"/>
    <col min="13330" max="13330" width="20.140625" style="213" customWidth="1"/>
    <col min="13331" max="13331" width="23.140625" style="213" customWidth="1"/>
    <col min="13332" max="13345" width="0" style="213" hidden="1" customWidth="1"/>
    <col min="13346" max="13346" width="21" style="213" customWidth="1"/>
    <col min="13347" max="13348" width="0" style="213" hidden="1" customWidth="1"/>
    <col min="13349" max="13349" width="15.85546875" style="213" customWidth="1"/>
    <col min="13350" max="13568" width="11.42578125" style="213"/>
    <col min="13569" max="13569" width="3.5703125" style="213" bestFit="1" customWidth="1"/>
    <col min="13570" max="13570" width="36.7109375" style="213" customWidth="1"/>
    <col min="13571" max="13580" width="0" style="213" hidden="1" customWidth="1"/>
    <col min="13581" max="13581" width="24.5703125" style="213" customWidth="1"/>
    <col min="13582" max="13582" width="21.85546875" style="213" customWidth="1"/>
    <col min="13583" max="13583" width="19.42578125" style="213" customWidth="1"/>
    <col min="13584" max="13584" width="20" style="213" customWidth="1"/>
    <col min="13585" max="13585" width="19.42578125" style="213" customWidth="1"/>
    <col min="13586" max="13586" width="20.140625" style="213" customWidth="1"/>
    <col min="13587" max="13587" width="23.140625" style="213" customWidth="1"/>
    <col min="13588" max="13601" width="0" style="213" hidden="1" customWidth="1"/>
    <col min="13602" max="13602" width="21" style="213" customWidth="1"/>
    <col min="13603" max="13604" width="0" style="213" hidden="1" customWidth="1"/>
    <col min="13605" max="13605" width="15.85546875" style="213" customWidth="1"/>
    <col min="13606" max="13824" width="11.42578125" style="213"/>
    <col min="13825" max="13825" width="3.5703125" style="213" bestFit="1" customWidth="1"/>
    <col min="13826" max="13826" width="36.7109375" style="213" customWidth="1"/>
    <col min="13827" max="13836" width="0" style="213" hidden="1" customWidth="1"/>
    <col min="13837" max="13837" width="24.5703125" style="213" customWidth="1"/>
    <col min="13838" max="13838" width="21.85546875" style="213" customWidth="1"/>
    <col min="13839" max="13839" width="19.42578125" style="213" customWidth="1"/>
    <col min="13840" max="13840" width="20" style="213" customWidth="1"/>
    <col min="13841" max="13841" width="19.42578125" style="213" customWidth="1"/>
    <col min="13842" max="13842" width="20.140625" style="213" customWidth="1"/>
    <col min="13843" max="13843" width="23.140625" style="213" customWidth="1"/>
    <col min="13844" max="13857" width="0" style="213" hidden="1" customWidth="1"/>
    <col min="13858" max="13858" width="21" style="213" customWidth="1"/>
    <col min="13859" max="13860" width="0" style="213" hidden="1" customWidth="1"/>
    <col min="13861" max="13861" width="15.85546875" style="213" customWidth="1"/>
    <col min="13862" max="14080" width="11.42578125" style="213"/>
    <col min="14081" max="14081" width="3.5703125" style="213" bestFit="1" customWidth="1"/>
    <col min="14082" max="14082" width="36.7109375" style="213" customWidth="1"/>
    <col min="14083" max="14092" width="0" style="213" hidden="1" customWidth="1"/>
    <col min="14093" max="14093" width="24.5703125" style="213" customWidth="1"/>
    <col min="14094" max="14094" width="21.85546875" style="213" customWidth="1"/>
    <col min="14095" max="14095" width="19.42578125" style="213" customWidth="1"/>
    <col min="14096" max="14096" width="20" style="213" customWidth="1"/>
    <col min="14097" max="14097" width="19.42578125" style="213" customWidth="1"/>
    <col min="14098" max="14098" width="20.140625" style="213" customWidth="1"/>
    <col min="14099" max="14099" width="23.140625" style="213" customWidth="1"/>
    <col min="14100" max="14113" width="0" style="213" hidden="1" customWidth="1"/>
    <col min="14114" max="14114" width="21" style="213" customWidth="1"/>
    <col min="14115" max="14116" width="0" style="213" hidden="1" customWidth="1"/>
    <col min="14117" max="14117" width="15.85546875" style="213" customWidth="1"/>
    <col min="14118" max="14336" width="11.42578125" style="213"/>
    <col min="14337" max="14337" width="3.5703125" style="213" bestFit="1" customWidth="1"/>
    <col min="14338" max="14338" width="36.7109375" style="213" customWidth="1"/>
    <col min="14339" max="14348" width="0" style="213" hidden="1" customWidth="1"/>
    <col min="14349" max="14349" width="24.5703125" style="213" customWidth="1"/>
    <col min="14350" max="14350" width="21.85546875" style="213" customWidth="1"/>
    <col min="14351" max="14351" width="19.42578125" style="213" customWidth="1"/>
    <col min="14352" max="14352" width="20" style="213" customWidth="1"/>
    <col min="14353" max="14353" width="19.42578125" style="213" customWidth="1"/>
    <col min="14354" max="14354" width="20.140625" style="213" customWidth="1"/>
    <col min="14355" max="14355" width="23.140625" style="213" customWidth="1"/>
    <col min="14356" max="14369" width="0" style="213" hidden="1" customWidth="1"/>
    <col min="14370" max="14370" width="21" style="213" customWidth="1"/>
    <col min="14371" max="14372" width="0" style="213" hidden="1" customWidth="1"/>
    <col min="14373" max="14373" width="15.85546875" style="213" customWidth="1"/>
    <col min="14374" max="14592" width="11.42578125" style="213"/>
    <col min="14593" max="14593" width="3.5703125" style="213" bestFit="1" customWidth="1"/>
    <col min="14594" max="14594" width="36.7109375" style="213" customWidth="1"/>
    <col min="14595" max="14604" width="0" style="213" hidden="1" customWidth="1"/>
    <col min="14605" max="14605" width="24.5703125" style="213" customWidth="1"/>
    <col min="14606" max="14606" width="21.85546875" style="213" customWidth="1"/>
    <col min="14607" max="14607" width="19.42578125" style="213" customWidth="1"/>
    <col min="14608" max="14608" width="20" style="213" customWidth="1"/>
    <col min="14609" max="14609" width="19.42578125" style="213" customWidth="1"/>
    <col min="14610" max="14610" width="20.140625" style="213" customWidth="1"/>
    <col min="14611" max="14611" width="23.140625" style="213" customWidth="1"/>
    <col min="14612" max="14625" width="0" style="213" hidden="1" customWidth="1"/>
    <col min="14626" max="14626" width="21" style="213" customWidth="1"/>
    <col min="14627" max="14628" width="0" style="213" hidden="1" customWidth="1"/>
    <col min="14629" max="14629" width="15.85546875" style="213" customWidth="1"/>
    <col min="14630" max="14848" width="11.42578125" style="213"/>
    <col min="14849" max="14849" width="3.5703125" style="213" bestFit="1" customWidth="1"/>
    <col min="14850" max="14850" width="36.7109375" style="213" customWidth="1"/>
    <col min="14851" max="14860" width="0" style="213" hidden="1" customWidth="1"/>
    <col min="14861" max="14861" width="24.5703125" style="213" customWidth="1"/>
    <col min="14862" max="14862" width="21.85546875" style="213" customWidth="1"/>
    <col min="14863" max="14863" width="19.42578125" style="213" customWidth="1"/>
    <col min="14864" max="14864" width="20" style="213" customWidth="1"/>
    <col min="14865" max="14865" width="19.42578125" style="213" customWidth="1"/>
    <col min="14866" max="14866" width="20.140625" style="213" customWidth="1"/>
    <col min="14867" max="14867" width="23.140625" style="213" customWidth="1"/>
    <col min="14868" max="14881" width="0" style="213" hidden="1" customWidth="1"/>
    <col min="14882" max="14882" width="21" style="213" customWidth="1"/>
    <col min="14883" max="14884" width="0" style="213" hidden="1" customWidth="1"/>
    <col min="14885" max="14885" width="15.85546875" style="213" customWidth="1"/>
    <col min="14886" max="15104" width="11.42578125" style="213"/>
    <col min="15105" max="15105" width="3.5703125" style="213" bestFit="1" customWidth="1"/>
    <col min="15106" max="15106" width="36.7109375" style="213" customWidth="1"/>
    <col min="15107" max="15116" width="0" style="213" hidden="1" customWidth="1"/>
    <col min="15117" max="15117" width="24.5703125" style="213" customWidth="1"/>
    <col min="15118" max="15118" width="21.85546875" style="213" customWidth="1"/>
    <col min="15119" max="15119" width="19.42578125" style="213" customWidth="1"/>
    <col min="15120" max="15120" width="20" style="213" customWidth="1"/>
    <col min="15121" max="15121" width="19.42578125" style="213" customWidth="1"/>
    <col min="15122" max="15122" width="20.140625" style="213" customWidth="1"/>
    <col min="15123" max="15123" width="23.140625" style="213" customWidth="1"/>
    <col min="15124" max="15137" width="0" style="213" hidden="1" customWidth="1"/>
    <col min="15138" max="15138" width="21" style="213" customWidth="1"/>
    <col min="15139" max="15140" width="0" style="213" hidden="1" customWidth="1"/>
    <col min="15141" max="15141" width="15.85546875" style="213" customWidth="1"/>
    <col min="15142" max="15360" width="11.42578125" style="213"/>
    <col min="15361" max="15361" width="3.5703125" style="213" bestFit="1" customWidth="1"/>
    <col min="15362" max="15362" width="36.7109375" style="213" customWidth="1"/>
    <col min="15363" max="15372" width="0" style="213" hidden="1" customWidth="1"/>
    <col min="15373" max="15373" width="24.5703125" style="213" customWidth="1"/>
    <col min="15374" max="15374" width="21.85546875" style="213" customWidth="1"/>
    <col min="15375" max="15375" width="19.42578125" style="213" customWidth="1"/>
    <col min="15376" max="15376" width="20" style="213" customWidth="1"/>
    <col min="15377" max="15377" width="19.42578125" style="213" customWidth="1"/>
    <col min="15378" max="15378" width="20.140625" style="213" customWidth="1"/>
    <col min="15379" max="15379" width="23.140625" style="213" customWidth="1"/>
    <col min="15380" max="15393" width="0" style="213" hidden="1" customWidth="1"/>
    <col min="15394" max="15394" width="21" style="213" customWidth="1"/>
    <col min="15395" max="15396" width="0" style="213" hidden="1" customWidth="1"/>
    <col min="15397" max="15397" width="15.85546875" style="213" customWidth="1"/>
    <col min="15398" max="15616" width="11.42578125" style="213"/>
    <col min="15617" max="15617" width="3.5703125" style="213" bestFit="1" customWidth="1"/>
    <col min="15618" max="15618" width="36.7109375" style="213" customWidth="1"/>
    <col min="15619" max="15628" width="0" style="213" hidden="1" customWidth="1"/>
    <col min="15629" max="15629" width="24.5703125" style="213" customWidth="1"/>
    <col min="15630" max="15630" width="21.85546875" style="213" customWidth="1"/>
    <col min="15631" max="15631" width="19.42578125" style="213" customWidth="1"/>
    <col min="15632" max="15632" width="20" style="213" customWidth="1"/>
    <col min="15633" max="15633" width="19.42578125" style="213" customWidth="1"/>
    <col min="15634" max="15634" width="20.140625" style="213" customWidth="1"/>
    <col min="15635" max="15635" width="23.140625" style="213" customWidth="1"/>
    <col min="15636" max="15649" width="0" style="213" hidden="1" customWidth="1"/>
    <col min="15650" max="15650" width="21" style="213" customWidth="1"/>
    <col min="15651" max="15652" width="0" style="213" hidden="1" customWidth="1"/>
    <col min="15653" max="15653" width="15.85546875" style="213" customWidth="1"/>
    <col min="15654" max="15872" width="11.42578125" style="213"/>
    <col min="15873" max="15873" width="3.5703125" style="213" bestFit="1" customWidth="1"/>
    <col min="15874" max="15874" width="36.7109375" style="213" customWidth="1"/>
    <col min="15875" max="15884" width="0" style="213" hidden="1" customWidth="1"/>
    <col min="15885" max="15885" width="24.5703125" style="213" customWidth="1"/>
    <col min="15886" max="15886" width="21.85546875" style="213" customWidth="1"/>
    <col min="15887" max="15887" width="19.42578125" style="213" customWidth="1"/>
    <col min="15888" max="15888" width="20" style="213" customWidth="1"/>
    <col min="15889" max="15889" width="19.42578125" style="213" customWidth="1"/>
    <col min="15890" max="15890" width="20.140625" style="213" customWidth="1"/>
    <col min="15891" max="15891" width="23.140625" style="213" customWidth="1"/>
    <col min="15892" max="15905" width="0" style="213" hidden="1" customWidth="1"/>
    <col min="15906" max="15906" width="21" style="213" customWidth="1"/>
    <col min="15907" max="15908" width="0" style="213" hidden="1" customWidth="1"/>
    <col min="15909" max="15909" width="15.85546875" style="213" customWidth="1"/>
    <col min="15910" max="16128" width="11.42578125" style="213"/>
    <col min="16129" max="16129" width="3.5703125" style="213" bestFit="1" customWidth="1"/>
    <col min="16130" max="16130" width="36.7109375" style="213" customWidth="1"/>
    <col min="16131" max="16140" width="0" style="213" hidden="1" customWidth="1"/>
    <col min="16141" max="16141" width="24.5703125" style="213" customWidth="1"/>
    <col min="16142" max="16142" width="21.85546875" style="213" customWidth="1"/>
    <col min="16143" max="16143" width="19.42578125" style="213" customWidth="1"/>
    <col min="16144" max="16144" width="20" style="213" customWidth="1"/>
    <col min="16145" max="16145" width="19.42578125" style="213" customWidth="1"/>
    <col min="16146" max="16146" width="20.140625" style="213" customWidth="1"/>
    <col min="16147" max="16147" width="23.140625" style="213" customWidth="1"/>
    <col min="16148" max="16161" width="0" style="213" hidden="1" customWidth="1"/>
    <col min="16162" max="16162" width="21" style="213" customWidth="1"/>
    <col min="16163" max="16164" width="0" style="213" hidden="1" customWidth="1"/>
    <col min="16165" max="16165" width="15.85546875" style="213" customWidth="1"/>
    <col min="16166" max="16384" width="11.42578125" style="213"/>
  </cols>
  <sheetData>
    <row r="1" spans="1:232" ht="18" customHeight="1">
      <c r="A1" s="310" t="s">
        <v>292</v>
      </c>
      <c r="B1" s="310" t="s">
        <v>293</v>
      </c>
      <c r="C1" s="311" t="s">
        <v>294</v>
      </c>
      <c r="D1" s="311"/>
      <c r="E1" s="311"/>
      <c r="F1" s="311"/>
      <c r="G1" s="311"/>
      <c r="H1" s="311"/>
      <c r="I1" s="311"/>
      <c r="J1" s="311"/>
      <c r="K1" s="311"/>
      <c r="L1" s="311"/>
      <c r="M1" s="312">
        <v>2017</v>
      </c>
      <c r="N1" s="312"/>
      <c r="O1" s="312"/>
      <c r="P1" s="312"/>
      <c r="Q1" s="312"/>
      <c r="R1" s="312"/>
      <c r="S1" s="312"/>
      <c r="T1" s="312" t="s">
        <v>295</v>
      </c>
      <c r="U1" s="312"/>
      <c r="V1" s="312"/>
      <c r="W1" s="312"/>
      <c r="X1" s="312"/>
      <c r="Y1" s="312"/>
      <c r="Z1" s="312"/>
      <c r="AA1" s="313" t="s">
        <v>296</v>
      </c>
      <c r="AB1" s="313"/>
      <c r="AC1" s="313"/>
      <c r="AD1" s="313"/>
      <c r="AE1" s="313"/>
      <c r="AF1" s="308" t="s">
        <v>297</v>
      </c>
      <c r="AG1" s="308" t="s">
        <v>298</v>
      </c>
      <c r="AH1" s="211"/>
      <c r="AI1" s="211"/>
      <c r="AJ1" s="211"/>
      <c r="AK1" s="211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</row>
    <row r="2" spans="1:232" ht="55.5" customHeight="1">
      <c r="A2" s="310"/>
      <c r="B2" s="310"/>
      <c r="C2" s="214" t="s">
        <v>299</v>
      </c>
      <c r="D2" s="214" t="s">
        <v>300</v>
      </c>
      <c r="E2" s="214" t="s">
        <v>301</v>
      </c>
      <c r="F2" s="214" t="s">
        <v>302</v>
      </c>
      <c r="G2" s="214" t="s">
        <v>303</v>
      </c>
      <c r="H2" s="214" t="s">
        <v>74</v>
      </c>
      <c r="I2" s="208" t="s">
        <v>232</v>
      </c>
      <c r="J2" s="208" t="s">
        <v>138</v>
      </c>
      <c r="K2" s="208" t="s">
        <v>304</v>
      </c>
      <c r="L2" s="215" t="s">
        <v>305</v>
      </c>
      <c r="M2" s="214" t="s">
        <v>299</v>
      </c>
      <c r="N2" s="214" t="s">
        <v>300</v>
      </c>
      <c r="O2" s="214" t="s">
        <v>301</v>
      </c>
      <c r="P2" s="214" t="s">
        <v>302</v>
      </c>
      <c r="Q2" s="214" t="s">
        <v>303</v>
      </c>
      <c r="R2" s="214" t="s">
        <v>74</v>
      </c>
      <c r="S2" s="215" t="s">
        <v>306</v>
      </c>
      <c r="T2" s="216" t="s">
        <v>307</v>
      </c>
      <c r="U2" s="216" t="s">
        <v>10</v>
      </c>
      <c r="V2" s="216" t="s">
        <v>308</v>
      </c>
      <c r="W2" s="217" t="s">
        <v>309</v>
      </c>
      <c r="X2" s="217" t="s">
        <v>310</v>
      </c>
      <c r="Y2" s="217" t="s">
        <v>311</v>
      </c>
      <c r="Z2" s="200" t="s">
        <v>7</v>
      </c>
      <c r="AA2" s="200" t="s">
        <v>7</v>
      </c>
      <c r="AB2" s="200" t="s">
        <v>307</v>
      </c>
      <c r="AC2" s="200" t="s">
        <v>10</v>
      </c>
      <c r="AD2" s="200" t="s">
        <v>308</v>
      </c>
      <c r="AE2" s="200" t="s">
        <v>312</v>
      </c>
      <c r="AF2" s="308"/>
      <c r="AG2" s="308"/>
      <c r="AH2" s="218" t="s">
        <v>313</v>
      </c>
      <c r="AI2" s="200">
        <v>2018</v>
      </c>
      <c r="AJ2" s="200">
        <v>2019</v>
      </c>
      <c r="AK2" s="200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219"/>
      <c r="CL2" s="219"/>
      <c r="CM2" s="219"/>
      <c r="CN2" s="219"/>
      <c r="CO2" s="219"/>
      <c r="CP2" s="219"/>
      <c r="CQ2" s="219"/>
      <c r="CR2" s="219"/>
      <c r="CS2" s="219"/>
      <c r="CT2" s="219"/>
      <c r="CU2" s="219"/>
      <c r="CV2" s="219"/>
      <c r="CW2" s="219"/>
      <c r="CX2" s="219"/>
      <c r="CY2" s="219"/>
      <c r="CZ2" s="219"/>
      <c r="DA2" s="219"/>
      <c r="DB2" s="219"/>
      <c r="DC2" s="219"/>
      <c r="DD2" s="219"/>
      <c r="DE2" s="219"/>
      <c r="DF2" s="219"/>
      <c r="DG2" s="219"/>
      <c r="DH2" s="219"/>
      <c r="DI2" s="219"/>
      <c r="DJ2" s="219"/>
      <c r="DK2" s="219"/>
      <c r="DL2" s="219"/>
      <c r="DM2" s="219"/>
      <c r="DN2" s="219"/>
      <c r="DO2" s="219"/>
      <c r="DP2" s="219"/>
      <c r="DQ2" s="219"/>
      <c r="DR2" s="219"/>
      <c r="DS2" s="219"/>
      <c r="DT2" s="219"/>
      <c r="DU2" s="219"/>
      <c r="DV2" s="219"/>
      <c r="DW2" s="219"/>
      <c r="DX2" s="219"/>
      <c r="DY2" s="219"/>
      <c r="DZ2" s="219"/>
      <c r="EA2" s="219"/>
      <c r="EB2" s="219"/>
      <c r="EC2" s="219"/>
      <c r="ED2" s="219"/>
      <c r="EE2" s="219"/>
      <c r="EF2" s="219"/>
      <c r="EG2" s="219"/>
      <c r="EH2" s="219"/>
      <c r="EI2" s="219"/>
      <c r="EJ2" s="219"/>
      <c r="EK2" s="219"/>
      <c r="EL2" s="219"/>
      <c r="EM2" s="219"/>
      <c r="EN2" s="219"/>
      <c r="EO2" s="219"/>
      <c r="EP2" s="219"/>
      <c r="EQ2" s="219"/>
      <c r="ER2" s="219"/>
      <c r="ES2" s="219"/>
      <c r="ET2" s="219"/>
      <c r="EU2" s="219"/>
      <c r="EV2" s="219"/>
      <c r="EW2" s="219"/>
      <c r="EX2" s="219"/>
      <c r="EY2" s="219"/>
      <c r="EZ2" s="219"/>
      <c r="FA2" s="219"/>
      <c r="FB2" s="219"/>
      <c r="FC2" s="219"/>
      <c r="FD2" s="219"/>
      <c r="FE2" s="219"/>
      <c r="FF2" s="219"/>
      <c r="FG2" s="219"/>
      <c r="FH2" s="219"/>
      <c r="FI2" s="219"/>
      <c r="FJ2" s="219"/>
      <c r="FK2" s="219"/>
      <c r="FL2" s="219"/>
      <c r="FM2" s="219"/>
      <c r="FN2" s="219"/>
      <c r="FO2" s="219"/>
      <c r="FP2" s="219"/>
      <c r="FQ2" s="219"/>
      <c r="FR2" s="219"/>
      <c r="FS2" s="219"/>
      <c r="FT2" s="219"/>
      <c r="FU2" s="219"/>
      <c r="FV2" s="219"/>
      <c r="FW2" s="219"/>
      <c r="FX2" s="219"/>
      <c r="FY2" s="219"/>
      <c r="FZ2" s="219"/>
      <c r="GA2" s="219"/>
      <c r="GB2" s="219"/>
      <c r="GC2" s="219"/>
      <c r="GD2" s="219"/>
      <c r="GE2" s="219"/>
      <c r="GF2" s="219"/>
      <c r="GG2" s="219"/>
      <c r="GH2" s="219"/>
      <c r="GI2" s="219"/>
      <c r="GJ2" s="219"/>
      <c r="GK2" s="219"/>
      <c r="GL2" s="219"/>
      <c r="GM2" s="219"/>
      <c r="GN2" s="219"/>
      <c r="GO2" s="219"/>
      <c r="GP2" s="219"/>
      <c r="GQ2" s="219"/>
      <c r="GR2" s="219"/>
      <c r="GS2" s="219"/>
      <c r="GT2" s="219"/>
      <c r="GU2" s="219"/>
      <c r="GV2" s="219"/>
      <c r="GW2" s="219"/>
      <c r="GX2" s="219"/>
      <c r="GY2" s="219"/>
      <c r="GZ2" s="219"/>
      <c r="HA2" s="219"/>
      <c r="HB2" s="219"/>
      <c r="HC2" s="219"/>
      <c r="HD2" s="219"/>
      <c r="HE2" s="219"/>
      <c r="HF2" s="219"/>
      <c r="HG2" s="219"/>
      <c r="HH2" s="219"/>
      <c r="HI2" s="219"/>
      <c r="HJ2" s="219"/>
      <c r="HK2" s="219"/>
      <c r="HL2" s="219"/>
      <c r="HM2" s="219"/>
      <c r="HN2" s="219"/>
      <c r="HO2" s="219"/>
      <c r="HP2" s="219"/>
      <c r="HQ2" s="219"/>
      <c r="HR2" s="219"/>
      <c r="HS2" s="219"/>
      <c r="HT2" s="219"/>
      <c r="HU2" s="219"/>
      <c r="HV2" s="219"/>
      <c r="HW2" s="219"/>
      <c r="HX2" s="219"/>
    </row>
    <row r="3" spans="1:232" ht="15">
      <c r="A3" s="220"/>
      <c r="B3" s="221" t="s">
        <v>314</v>
      </c>
      <c r="C3" s="222">
        <f>SUM(C4:C6)</f>
        <v>1233166555.8</v>
      </c>
      <c r="D3" s="222">
        <f t="shared" ref="D3:S3" si="0">SUM(D4:D6)</f>
        <v>3646628839.6719999</v>
      </c>
      <c r="E3" s="222">
        <f t="shared" si="0"/>
        <v>1073210483</v>
      </c>
      <c r="F3" s="222">
        <f t="shared" si="0"/>
        <v>1525828372.2</v>
      </c>
      <c r="G3" s="222">
        <f t="shared" si="0"/>
        <v>0</v>
      </c>
      <c r="H3" s="222">
        <f t="shared" si="0"/>
        <v>2680000000</v>
      </c>
      <c r="I3" s="222">
        <f>SUM(I4:I6)</f>
        <v>5019003081</v>
      </c>
      <c r="J3" s="222">
        <f t="shared" si="0"/>
        <v>0</v>
      </c>
      <c r="K3" s="222">
        <f t="shared" si="0"/>
        <v>0</v>
      </c>
      <c r="L3" s="222">
        <f t="shared" si="0"/>
        <v>15177837331.672001</v>
      </c>
      <c r="M3" s="222">
        <f t="shared" si="0"/>
        <v>1076631719.21</v>
      </c>
      <c r="N3" s="222">
        <f t="shared" si="0"/>
        <v>3534769935.3509197</v>
      </c>
      <c r="O3" s="222">
        <f t="shared" si="0"/>
        <v>1301738834.6370001</v>
      </c>
      <c r="P3" s="222">
        <f t="shared" si="0"/>
        <v>1588956301</v>
      </c>
      <c r="Q3" s="222">
        <f t="shared" si="0"/>
        <v>80000000</v>
      </c>
      <c r="R3" s="222">
        <f t="shared" si="0"/>
        <v>3051800000</v>
      </c>
      <c r="S3" s="222">
        <f t="shared" si="0"/>
        <v>10633896790.197922</v>
      </c>
      <c r="T3" s="223">
        <f>SUM(T4:T6)</f>
        <v>2500000000</v>
      </c>
      <c r="U3" s="223">
        <f t="shared" ref="U3:AG3" si="1">SUM(U4:U6)</f>
        <v>1101182762</v>
      </c>
      <c r="V3" s="223">
        <f>SUM(V4:V6)</f>
        <v>778348533.60000002</v>
      </c>
      <c r="W3" s="223">
        <f t="shared" si="1"/>
        <v>0</v>
      </c>
      <c r="X3" s="223">
        <f t="shared" si="1"/>
        <v>0</v>
      </c>
      <c r="Y3" s="223">
        <f t="shared" si="1"/>
        <v>0</v>
      </c>
      <c r="Z3" s="223">
        <f t="shared" si="1"/>
        <v>800000000</v>
      </c>
      <c r="AA3" s="223">
        <f t="shared" si="1"/>
        <v>0</v>
      </c>
      <c r="AB3" s="223">
        <f t="shared" si="1"/>
        <v>218817238</v>
      </c>
      <c r="AC3" s="223">
        <f t="shared" si="1"/>
        <v>300000000</v>
      </c>
      <c r="AD3" s="223">
        <f t="shared" si="1"/>
        <v>366623603.10000002</v>
      </c>
      <c r="AE3" s="223">
        <f t="shared" si="1"/>
        <v>0</v>
      </c>
      <c r="AF3" s="223">
        <f t="shared" si="1"/>
        <v>0</v>
      </c>
      <c r="AG3" s="223">
        <f t="shared" si="1"/>
        <v>2680000000</v>
      </c>
      <c r="AH3" s="223">
        <f>SUM(AH4:AH6)</f>
        <v>8744972136.7000008</v>
      </c>
      <c r="AI3" s="224">
        <v>7231262501.1999998</v>
      </c>
      <c r="AJ3" s="224">
        <v>7590866890</v>
      </c>
      <c r="AK3" s="224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5"/>
      <c r="BK3" s="225"/>
      <c r="BL3" s="225"/>
      <c r="BM3" s="225"/>
      <c r="BN3" s="225"/>
      <c r="BO3" s="225"/>
      <c r="BP3" s="225"/>
      <c r="BQ3" s="225"/>
      <c r="BR3" s="225"/>
      <c r="BS3" s="225"/>
      <c r="BT3" s="225"/>
      <c r="BU3" s="225"/>
      <c r="BV3" s="225"/>
      <c r="BW3" s="225"/>
      <c r="BX3" s="225"/>
      <c r="BY3" s="225"/>
      <c r="BZ3" s="225"/>
      <c r="CA3" s="225"/>
      <c r="CB3" s="225"/>
      <c r="CC3" s="225"/>
      <c r="CD3" s="225"/>
      <c r="CE3" s="225"/>
      <c r="CF3" s="225"/>
      <c r="CG3" s="225"/>
      <c r="CH3" s="225"/>
      <c r="CI3" s="225"/>
      <c r="CJ3" s="225"/>
      <c r="CK3" s="225"/>
      <c r="CL3" s="225"/>
      <c r="CM3" s="225"/>
      <c r="CN3" s="225"/>
      <c r="CO3" s="225"/>
      <c r="CP3" s="225"/>
      <c r="CQ3" s="225"/>
      <c r="CR3" s="225"/>
      <c r="CS3" s="225"/>
      <c r="CT3" s="225"/>
      <c r="CU3" s="225"/>
      <c r="CV3" s="225"/>
      <c r="CW3" s="225"/>
      <c r="CX3" s="225"/>
      <c r="CY3" s="225"/>
      <c r="CZ3" s="225"/>
      <c r="DA3" s="225"/>
      <c r="DB3" s="225"/>
      <c r="DC3" s="225"/>
      <c r="DD3" s="225"/>
      <c r="DE3" s="225"/>
      <c r="DF3" s="225"/>
      <c r="DG3" s="225"/>
      <c r="DH3" s="225"/>
      <c r="DI3" s="225"/>
      <c r="DJ3" s="225"/>
      <c r="DK3" s="225"/>
      <c r="DL3" s="225"/>
      <c r="DM3" s="225"/>
      <c r="DN3" s="225"/>
      <c r="DO3" s="225"/>
      <c r="DP3" s="225"/>
      <c r="DQ3" s="225"/>
      <c r="DR3" s="225"/>
      <c r="DS3" s="225"/>
      <c r="DT3" s="225"/>
      <c r="DU3" s="225"/>
      <c r="DV3" s="225"/>
      <c r="DW3" s="225"/>
      <c r="DX3" s="225"/>
      <c r="DY3" s="225"/>
      <c r="DZ3" s="225"/>
      <c r="EA3" s="225"/>
      <c r="EB3" s="225"/>
      <c r="EC3" s="225"/>
      <c r="ED3" s="225"/>
      <c r="EE3" s="225"/>
      <c r="EF3" s="225"/>
      <c r="EG3" s="225"/>
      <c r="EH3" s="225"/>
      <c r="EI3" s="225"/>
      <c r="EJ3" s="225"/>
      <c r="EK3" s="225"/>
      <c r="EL3" s="225"/>
      <c r="EM3" s="225"/>
      <c r="EN3" s="225"/>
      <c r="EO3" s="225"/>
      <c r="EP3" s="225"/>
      <c r="EQ3" s="225"/>
      <c r="ER3" s="225"/>
      <c r="ES3" s="225"/>
      <c r="ET3" s="225"/>
      <c r="EU3" s="225"/>
      <c r="EV3" s="225"/>
      <c r="EW3" s="225"/>
      <c r="EX3" s="225"/>
      <c r="EY3" s="225"/>
      <c r="EZ3" s="225"/>
      <c r="FA3" s="225"/>
      <c r="FB3" s="225"/>
      <c r="FC3" s="225"/>
      <c r="FD3" s="225"/>
      <c r="FE3" s="225"/>
      <c r="FF3" s="225"/>
      <c r="FG3" s="225"/>
      <c r="FH3" s="225"/>
      <c r="FI3" s="225"/>
      <c r="FJ3" s="225"/>
      <c r="FK3" s="225"/>
      <c r="FL3" s="225"/>
      <c r="FM3" s="225"/>
      <c r="FN3" s="225"/>
      <c r="FO3" s="225"/>
      <c r="FP3" s="225"/>
      <c r="FQ3" s="225"/>
      <c r="FR3" s="225"/>
      <c r="FS3" s="225"/>
      <c r="FT3" s="225"/>
      <c r="FU3" s="225"/>
      <c r="FV3" s="225"/>
      <c r="FW3" s="225"/>
      <c r="FX3" s="225"/>
      <c r="FY3" s="225"/>
      <c r="FZ3" s="225"/>
      <c r="GA3" s="225"/>
      <c r="GB3" s="225"/>
      <c r="GC3" s="225"/>
      <c r="GD3" s="225"/>
      <c r="GE3" s="225"/>
      <c r="GF3" s="225"/>
      <c r="GG3" s="225"/>
      <c r="GH3" s="225"/>
      <c r="GI3" s="225"/>
      <c r="GJ3" s="225"/>
      <c r="GK3" s="225"/>
      <c r="GL3" s="225"/>
      <c r="GM3" s="225"/>
      <c r="GN3" s="225"/>
      <c r="GO3" s="225"/>
      <c r="GP3" s="225"/>
      <c r="GQ3" s="225"/>
      <c r="GR3" s="225"/>
      <c r="GS3" s="225"/>
      <c r="GT3" s="225"/>
      <c r="GU3" s="225"/>
      <c r="GV3" s="225"/>
      <c r="GW3" s="225"/>
      <c r="GX3" s="225"/>
      <c r="GY3" s="225"/>
      <c r="GZ3" s="225"/>
      <c r="HA3" s="225"/>
      <c r="HB3" s="225"/>
      <c r="HC3" s="225"/>
      <c r="HD3" s="225"/>
      <c r="HE3" s="225"/>
      <c r="HF3" s="225"/>
      <c r="HG3" s="225"/>
      <c r="HH3" s="225"/>
      <c r="HI3" s="225"/>
      <c r="HJ3" s="225"/>
      <c r="HK3" s="225"/>
      <c r="HL3" s="225"/>
      <c r="HM3" s="225"/>
      <c r="HN3" s="225"/>
      <c r="HO3" s="225"/>
      <c r="HP3" s="225"/>
      <c r="HQ3" s="225"/>
      <c r="HR3" s="225"/>
      <c r="HS3" s="225"/>
      <c r="HT3" s="225"/>
      <c r="HU3" s="225"/>
      <c r="HV3" s="225"/>
      <c r="HW3" s="225"/>
      <c r="HX3" s="225"/>
    </row>
    <row r="4" spans="1:232" ht="39.75" customHeight="1">
      <c r="A4" s="200">
        <v>1</v>
      </c>
      <c r="B4" s="226" t="s">
        <v>0</v>
      </c>
      <c r="C4" s="40">
        <v>898469162.79999995</v>
      </c>
      <c r="D4" s="40">
        <v>1104400000</v>
      </c>
      <c r="E4" s="40">
        <v>0</v>
      </c>
      <c r="F4" s="40">
        <v>630261789.20000005</v>
      </c>
      <c r="G4" s="40">
        <v>0</v>
      </c>
      <c r="H4" s="40">
        <v>0</v>
      </c>
      <c r="I4" s="227">
        <f>2471381671+350000000</f>
        <v>2821381671</v>
      </c>
      <c r="J4" s="40"/>
      <c r="K4" s="40"/>
      <c r="L4" s="222">
        <f>SUM(C4:K4)</f>
        <v>5454512623</v>
      </c>
      <c r="M4" s="228">
        <v>826631719.21000004</v>
      </c>
      <c r="N4" s="228">
        <v>661941284.35091972</v>
      </c>
      <c r="O4" s="40"/>
      <c r="P4" s="40">
        <f>176118750+600000000</f>
        <v>776118750</v>
      </c>
      <c r="Q4" s="40"/>
      <c r="R4" s="40"/>
      <c r="S4" s="222">
        <f>SUM(M4:R4)</f>
        <v>2264691753.5609198</v>
      </c>
      <c r="T4" s="229"/>
      <c r="U4" s="229">
        <v>700000000</v>
      </c>
      <c r="V4" s="229"/>
      <c r="W4" s="229"/>
      <c r="X4" s="229"/>
      <c r="Y4" s="229"/>
      <c r="Z4" s="229">
        <v>550000000</v>
      </c>
      <c r="AA4" s="229"/>
      <c r="AB4" s="229"/>
      <c r="AC4" s="229"/>
      <c r="AD4" s="229">
        <v>0</v>
      </c>
      <c r="AE4" s="229"/>
      <c r="AF4" s="229"/>
      <c r="AG4" s="229">
        <v>0</v>
      </c>
      <c r="AH4" s="230">
        <f>SUM(T4:AG4)</f>
        <v>1250000000</v>
      </c>
      <c r="AI4" s="40">
        <v>1653341145</v>
      </c>
      <c r="AJ4" s="40">
        <v>1724938028</v>
      </c>
      <c r="AK4" s="40">
        <f>+S4-AH4</f>
        <v>1014691753.5609198</v>
      </c>
      <c r="AL4" s="213">
        <f>+S4/S21*100</f>
        <v>10.946277807453784</v>
      </c>
    </row>
    <row r="5" spans="1:232" ht="24.75" customHeight="1">
      <c r="A5" s="200">
        <v>2</v>
      </c>
      <c r="B5" s="226" t="s">
        <v>43</v>
      </c>
      <c r="C5" s="228">
        <v>334697393</v>
      </c>
      <c r="D5" s="40">
        <v>2542228839.6719999</v>
      </c>
      <c r="E5" s="40">
        <v>0</v>
      </c>
      <c r="F5" s="40">
        <v>895566583</v>
      </c>
      <c r="G5" s="40">
        <v>0</v>
      </c>
      <c r="H5" s="40">
        <v>2680000000</v>
      </c>
      <c r="I5" s="40">
        <v>1393598524</v>
      </c>
      <c r="J5" s="40"/>
      <c r="K5" s="40"/>
      <c r="L5" s="222">
        <f>SUM(C5:K5)</f>
        <v>7846091339.6719999</v>
      </c>
      <c r="M5" s="228">
        <v>250000000</v>
      </c>
      <c r="N5" s="40">
        <f>2411712600+461116051</f>
        <v>2872828651</v>
      </c>
      <c r="O5" s="40"/>
      <c r="P5" s="228">
        <f>800000000+12837551</f>
        <v>812837551</v>
      </c>
      <c r="Q5" s="40">
        <v>80000000</v>
      </c>
      <c r="R5" s="40">
        <v>3051800000</v>
      </c>
      <c r="S5" s="222">
        <f>SUM(M5:R5)</f>
        <v>7067466202</v>
      </c>
      <c r="T5" s="229">
        <v>2500000000</v>
      </c>
      <c r="U5" s="229">
        <f>32576702+368606060</f>
        <v>401182762</v>
      </c>
      <c r="V5" s="229">
        <v>0</v>
      </c>
      <c r="W5" s="229">
        <v>0</v>
      </c>
      <c r="X5" s="229">
        <v>0</v>
      </c>
      <c r="Y5" s="229">
        <v>0</v>
      </c>
      <c r="Z5" s="229">
        <v>250000000</v>
      </c>
      <c r="AA5" s="229"/>
      <c r="AB5" s="229">
        <v>218817238</v>
      </c>
      <c r="AC5" s="229">
        <v>300000000</v>
      </c>
      <c r="AD5" s="229">
        <v>0</v>
      </c>
      <c r="AE5" s="229"/>
      <c r="AF5" s="229"/>
      <c r="AG5" s="229">
        <f>+AG21</f>
        <v>2680000000</v>
      </c>
      <c r="AH5" s="230">
        <f>SUM(T5:AG5)</f>
        <v>6350000000</v>
      </c>
      <c r="AI5" s="40">
        <v>4356241900</v>
      </c>
      <c r="AJ5" s="40">
        <v>4562247317</v>
      </c>
      <c r="AK5" s="40">
        <f>+S5-AH5</f>
        <v>717466202</v>
      </c>
      <c r="AL5" s="213">
        <f>+S5/S21*100</f>
        <v>34.160255284296575</v>
      </c>
    </row>
    <row r="6" spans="1:232" ht="25.5" customHeight="1">
      <c r="A6" s="200">
        <v>3</v>
      </c>
      <c r="B6" s="226" t="s">
        <v>160</v>
      </c>
      <c r="C6" s="40">
        <v>0</v>
      </c>
      <c r="D6" s="228">
        <v>0</v>
      </c>
      <c r="E6" s="40">
        <v>1073210483</v>
      </c>
      <c r="F6" s="40">
        <v>0</v>
      </c>
      <c r="G6" s="40">
        <v>0</v>
      </c>
      <c r="H6" s="40">
        <v>0</v>
      </c>
      <c r="I6" s="40">
        <v>804022886</v>
      </c>
      <c r="J6" s="40"/>
      <c r="K6" s="40"/>
      <c r="L6" s="222">
        <f>SUM(C6:K6)</f>
        <v>1877233369</v>
      </c>
      <c r="M6" s="40"/>
      <c r="N6" s="228">
        <f>2872828651-N5</f>
        <v>0</v>
      </c>
      <c r="O6" s="40">
        <v>1301738834.6370001</v>
      </c>
      <c r="P6" s="40"/>
      <c r="Q6" s="40"/>
      <c r="R6" s="40"/>
      <c r="S6" s="222">
        <f>SUM(M6:R6)</f>
        <v>1301738834.6370001</v>
      </c>
      <c r="T6" s="229">
        <v>0</v>
      </c>
      <c r="U6" s="229">
        <v>0</v>
      </c>
      <c r="V6" s="229">
        <f>+V21</f>
        <v>778348533.60000002</v>
      </c>
      <c r="W6" s="229">
        <v>0</v>
      </c>
      <c r="X6" s="229">
        <v>0</v>
      </c>
      <c r="Y6" s="229">
        <v>0</v>
      </c>
      <c r="Z6" s="229">
        <v>0</v>
      </c>
      <c r="AA6" s="229">
        <v>0</v>
      </c>
      <c r="AB6" s="229">
        <v>0</v>
      </c>
      <c r="AC6" s="229">
        <v>0</v>
      </c>
      <c r="AD6" s="229">
        <f>+AD21</f>
        <v>366623603.10000002</v>
      </c>
      <c r="AE6" s="229">
        <v>0</v>
      </c>
      <c r="AF6" s="229">
        <v>0</v>
      </c>
      <c r="AG6" s="229">
        <v>0</v>
      </c>
      <c r="AH6" s="230">
        <f>SUM(T6:AG6)</f>
        <v>1144972136.7</v>
      </c>
      <c r="AI6" s="40">
        <v>1221679456.2</v>
      </c>
      <c r="AJ6" s="40">
        <v>1303681545</v>
      </c>
      <c r="AK6" s="40"/>
      <c r="AL6" s="213">
        <f>+S6/S21*100</f>
        <v>6.291891554019581</v>
      </c>
    </row>
    <row r="7" spans="1:232" ht="24.75" customHeight="1">
      <c r="A7" s="215"/>
      <c r="B7" s="221" t="s">
        <v>315</v>
      </c>
      <c r="C7" s="222">
        <f>SUM(C8:C9)</f>
        <v>1450000000</v>
      </c>
      <c r="D7" s="222">
        <f>SUM(D8:D9)</f>
        <v>100000000</v>
      </c>
      <c r="E7" s="222">
        <f t="shared" ref="E7:T7" si="2">SUM(E8:E9)</f>
        <v>0</v>
      </c>
      <c r="F7" s="222">
        <f t="shared" si="2"/>
        <v>150000000</v>
      </c>
      <c r="G7" s="222">
        <f t="shared" si="2"/>
        <v>0</v>
      </c>
      <c r="H7" s="222">
        <f t="shared" si="2"/>
        <v>0</v>
      </c>
      <c r="I7" s="222">
        <f t="shared" si="2"/>
        <v>0</v>
      </c>
      <c r="J7" s="222">
        <f t="shared" si="2"/>
        <v>0</v>
      </c>
      <c r="K7" s="222">
        <f t="shared" si="2"/>
        <v>0</v>
      </c>
      <c r="L7" s="222">
        <f t="shared" si="2"/>
        <v>1700000000</v>
      </c>
      <c r="M7" s="222">
        <f t="shared" si="2"/>
        <v>1573368280.79</v>
      </c>
      <c r="N7" s="222">
        <f t="shared" si="2"/>
        <v>0</v>
      </c>
      <c r="O7" s="222">
        <f t="shared" si="2"/>
        <v>0</v>
      </c>
      <c r="P7" s="222">
        <f>SUM(P8:P9)</f>
        <v>185068747.21000004</v>
      </c>
      <c r="Q7" s="222">
        <f t="shared" si="2"/>
        <v>0</v>
      </c>
      <c r="R7" s="222">
        <f t="shared" si="2"/>
        <v>0</v>
      </c>
      <c r="S7" s="222">
        <f t="shared" si="2"/>
        <v>1758437028</v>
      </c>
      <c r="T7" s="223">
        <f t="shared" si="2"/>
        <v>0</v>
      </c>
      <c r="U7" s="223">
        <f t="shared" ref="U7:AG7" si="3">SUM(U8:U9)</f>
        <v>0</v>
      </c>
      <c r="V7" s="223">
        <f t="shared" si="3"/>
        <v>0</v>
      </c>
      <c r="W7" s="223">
        <f t="shared" si="3"/>
        <v>0</v>
      </c>
      <c r="X7" s="223">
        <f t="shared" si="3"/>
        <v>0</v>
      </c>
      <c r="Y7" s="223">
        <f t="shared" si="3"/>
        <v>0</v>
      </c>
      <c r="Z7" s="223">
        <f t="shared" si="3"/>
        <v>1200000000</v>
      </c>
      <c r="AA7" s="223">
        <f t="shared" si="3"/>
        <v>200000000</v>
      </c>
      <c r="AB7" s="223">
        <f t="shared" si="3"/>
        <v>0</v>
      </c>
      <c r="AC7" s="223">
        <f t="shared" si="3"/>
        <v>358437028</v>
      </c>
      <c r="AD7" s="223">
        <f t="shared" si="3"/>
        <v>0</v>
      </c>
      <c r="AE7" s="223">
        <f t="shared" si="3"/>
        <v>0</v>
      </c>
      <c r="AF7" s="223">
        <f t="shared" si="3"/>
        <v>0</v>
      </c>
      <c r="AG7" s="223">
        <f t="shared" si="3"/>
        <v>0</v>
      </c>
      <c r="AH7" s="231">
        <f>SUM(AH8:AH9)</f>
        <v>1758437028</v>
      </c>
      <c r="AI7" s="222">
        <v>1750000000</v>
      </c>
      <c r="AJ7" s="222">
        <v>1917581379</v>
      </c>
      <c r="AK7" s="22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K7" s="232"/>
      <c r="DL7" s="232"/>
      <c r="DM7" s="232"/>
      <c r="DN7" s="232"/>
      <c r="DO7" s="232"/>
      <c r="DP7" s="232"/>
      <c r="DQ7" s="232"/>
      <c r="DR7" s="232"/>
      <c r="DS7" s="232"/>
      <c r="DT7" s="232"/>
      <c r="DU7" s="232"/>
      <c r="DV7" s="232"/>
      <c r="DW7" s="232"/>
      <c r="DX7" s="232"/>
      <c r="DY7" s="232"/>
      <c r="DZ7" s="232"/>
      <c r="EA7" s="232"/>
      <c r="EB7" s="232"/>
      <c r="EC7" s="232"/>
      <c r="ED7" s="232"/>
      <c r="EE7" s="232"/>
      <c r="EF7" s="232"/>
      <c r="EG7" s="232"/>
      <c r="EH7" s="232"/>
      <c r="EI7" s="232"/>
      <c r="EJ7" s="232"/>
      <c r="EK7" s="232"/>
      <c r="EL7" s="232"/>
      <c r="EM7" s="232"/>
      <c r="EN7" s="232"/>
      <c r="EO7" s="232"/>
      <c r="EP7" s="232"/>
      <c r="EQ7" s="232"/>
      <c r="ER7" s="232"/>
      <c r="ES7" s="232"/>
      <c r="ET7" s="232"/>
      <c r="EU7" s="232"/>
      <c r="EV7" s="232"/>
      <c r="EW7" s="232"/>
      <c r="EX7" s="232"/>
      <c r="EY7" s="232"/>
      <c r="EZ7" s="232"/>
      <c r="FA7" s="232"/>
      <c r="FB7" s="232"/>
      <c r="FC7" s="232"/>
      <c r="FD7" s="232"/>
      <c r="FE7" s="232"/>
      <c r="FF7" s="232"/>
      <c r="FG7" s="232"/>
      <c r="FH7" s="232"/>
      <c r="FI7" s="232"/>
      <c r="FJ7" s="232"/>
      <c r="FK7" s="232"/>
      <c r="FL7" s="232"/>
      <c r="FM7" s="232"/>
      <c r="FN7" s="232"/>
      <c r="FO7" s="232"/>
      <c r="FP7" s="232"/>
      <c r="FQ7" s="232"/>
      <c r="FR7" s="232"/>
      <c r="FS7" s="232"/>
      <c r="FT7" s="232"/>
      <c r="FU7" s="232"/>
      <c r="FV7" s="232"/>
      <c r="FW7" s="232"/>
      <c r="FX7" s="232"/>
      <c r="FY7" s="232"/>
      <c r="FZ7" s="232"/>
      <c r="GA7" s="232"/>
      <c r="GB7" s="232"/>
      <c r="GC7" s="232"/>
      <c r="GD7" s="232"/>
      <c r="GE7" s="232"/>
      <c r="GF7" s="232"/>
      <c r="GG7" s="232"/>
      <c r="GH7" s="232"/>
      <c r="GI7" s="232"/>
      <c r="GJ7" s="232"/>
      <c r="GK7" s="232"/>
      <c r="GL7" s="232"/>
      <c r="GM7" s="232"/>
      <c r="GN7" s="232"/>
      <c r="GO7" s="232"/>
      <c r="GP7" s="232"/>
      <c r="GQ7" s="232"/>
      <c r="GR7" s="232"/>
      <c r="GS7" s="232"/>
      <c r="GT7" s="232"/>
      <c r="GU7" s="232"/>
      <c r="GV7" s="232"/>
      <c r="GW7" s="232"/>
      <c r="GX7" s="232"/>
      <c r="GY7" s="232"/>
      <c r="GZ7" s="232"/>
      <c r="HA7" s="232"/>
      <c r="HB7" s="232"/>
      <c r="HC7" s="232"/>
      <c r="HD7" s="232"/>
      <c r="HE7" s="232"/>
      <c r="HF7" s="232"/>
      <c r="HG7" s="232"/>
      <c r="HH7" s="232"/>
      <c r="HI7" s="232"/>
      <c r="HJ7" s="232"/>
      <c r="HK7" s="232"/>
      <c r="HL7" s="232"/>
      <c r="HM7" s="232"/>
      <c r="HN7" s="232"/>
      <c r="HO7" s="232"/>
      <c r="HP7" s="232"/>
      <c r="HQ7" s="232"/>
      <c r="HR7" s="232"/>
      <c r="HS7" s="232"/>
      <c r="HT7" s="232"/>
      <c r="HU7" s="232"/>
      <c r="HV7" s="232"/>
      <c r="HW7" s="232"/>
      <c r="HX7" s="232"/>
    </row>
    <row r="8" spans="1:232" ht="39.75" customHeight="1">
      <c r="A8" s="200">
        <v>4</v>
      </c>
      <c r="B8" s="226" t="s">
        <v>73</v>
      </c>
      <c r="C8" s="233">
        <v>226884466</v>
      </c>
      <c r="D8" s="40">
        <v>0</v>
      </c>
      <c r="E8" s="40">
        <v>0</v>
      </c>
      <c r="F8" s="228">
        <v>0</v>
      </c>
      <c r="G8" s="40">
        <v>0</v>
      </c>
      <c r="H8" s="228">
        <v>0</v>
      </c>
      <c r="I8" s="228">
        <v>0</v>
      </c>
      <c r="J8" s="228"/>
      <c r="K8" s="228"/>
      <c r="L8" s="222">
        <f>SUM(C8:K8)</f>
        <v>226884466</v>
      </c>
      <c r="M8" s="233">
        <f>200000000+200000000</f>
        <v>400000000</v>
      </c>
      <c r="N8" s="228"/>
      <c r="O8" s="40"/>
      <c r="P8" s="40"/>
      <c r="Q8" s="40"/>
      <c r="R8" s="228"/>
      <c r="S8" s="222">
        <f>SUM(M8:R8)</f>
        <v>400000000</v>
      </c>
      <c r="T8" s="229"/>
      <c r="U8" s="229"/>
      <c r="V8" s="229">
        <v>0</v>
      </c>
      <c r="W8" s="229"/>
      <c r="X8" s="229"/>
      <c r="Y8" s="229"/>
      <c r="Z8" s="229">
        <v>200000000</v>
      </c>
      <c r="AA8" s="229">
        <v>200000000</v>
      </c>
      <c r="AB8" s="229"/>
      <c r="AC8" s="229"/>
      <c r="AD8" s="229">
        <v>0</v>
      </c>
      <c r="AE8" s="229"/>
      <c r="AF8" s="229"/>
      <c r="AG8" s="229">
        <v>0</v>
      </c>
      <c r="AH8" s="230">
        <f>SUM(T8:AG8)</f>
        <v>400000000</v>
      </c>
      <c r="AI8" s="40">
        <v>300000000</v>
      </c>
      <c r="AJ8" s="40">
        <v>300000000</v>
      </c>
      <c r="AK8" s="40">
        <f>+S8-AH8</f>
        <v>0</v>
      </c>
      <c r="AL8" s="213">
        <f>+S8/S21*100</f>
        <v>1.9333806095672403</v>
      </c>
    </row>
    <row r="9" spans="1:232" ht="36">
      <c r="A9" s="200">
        <v>5</v>
      </c>
      <c r="B9" s="226" t="s">
        <v>104</v>
      </c>
      <c r="C9" s="233">
        <v>1223115534</v>
      </c>
      <c r="D9" s="40">
        <v>100000000</v>
      </c>
      <c r="E9" s="40">
        <v>0</v>
      </c>
      <c r="F9" s="40">
        <v>150000000</v>
      </c>
      <c r="G9" s="228">
        <v>0</v>
      </c>
      <c r="H9" s="228">
        <v>0</v>
      </c>
      <c r="I9" s="228"/>
      <c r="J9" s="228"/>
      <c r="K9" s="228"/>
      <c r="L9" s="222">
        <f>SUM(C9:K9)</f>
        <v>1473115534</v>
      </c>
      <c r="M9" s="233">
        <v>1173368280.79</v>
      </c>
      <c r="N9" s="40">
        <v>0</v>
      </c>
      <c r="O9" s="40"/>
      <c r="P9" s="40">
        <v>185068747.21000004</v>
      </c>
      <c r="Q9" s="228"/>
      <c r="R9" s="228"/>
      <c r="S9" s="222">
        <f>SUM(M9:R9)</f>
        <v>1358437028</v>
      </c>
      <c r="T9" s="229"/>
      <c r="U9" s="229"/>
      <c r="V9" s="229">
        <v>0</v>
      </c>
      <c r="W9" s="229"/>
      <c r="X9" s="229"/>
      <c r="Y9" s="229"/>
      <c r="Z9" s="229">
        <v>1000000000</v>
      </c>
      <c r="AA9" s="229"/>
      <c r="AB9" s="229"/>
      <c r="AC9" s="229">
        <v>358437028</v>
      </c>
      <c r="AD9" s="229">
        <v>0</v>
      </c>
      <c r="AE9" s="229"/>
      <c r="AF9" s="229"/>
      <c r="AG9" s="229">
        <v>0</v>
      </c>
      <c r="AH9" s="230">
        <f>SUM(T9:AG9)</f>
        <v>1358437028</v>
      </c>
      <c r="AI9" s="40">
        <v>1450000000</v>
      </c>
      <c r="AJ9" s="40">
        <v>1617581379</v>
      </c>
      <c r="AK9" s="40">
        <f>+S9-AH9</f>
        <v>0</v>
      </c>
      <c r="AL9" s="213">
        <f>+S9/S21*100</f>
        <v>6.565939523133375</v>
      </c>
    </row>
    <row r="10" spans="1:232" ht="33" customHeight="1">
      <c r="A10" s="215"/>
      <c r="B10" s="221" t="s">
        <v>316</v>
      </c>
      <c r="C10" s="222">
        <f>SUM(C11:C12)</f>
        <v>465963600</v>
      </c>
      <c r="D10" s="222">
        <f>SUM(D11:D12)</f>
        <v>323493600</v>
      </c>
      <c r="E10" s="222">
        <f t="shared" ref="E10:S10" si="4">SUM(E11:E12)</f>
        <v>0</v>
      </c>
      <c r="F10" s="222">
        <f t="shared" si="4"/>
        <v>0</v>
      </c>
      <c r="G10" s="222">
        <f t="shared" si="4"/>
        <v>50200000</v>
      </c>
      <c r="H10" s="222">
        <f t="shared" si="4"/>
        <v>0</v>
      </c>
      <c r="I10" s="222">
        <f>SUM(I11:I12)</f>
        <v>1271935666</v>
      </c>
      <c r="J10" s="222">
        <f t="shared" si="4"/>
        <v>3728574777</v>
      </c>
      <c r="K10" s="222">
        <f t="shared" si="4"/>
        <v>749092163</v>
      </c>
      <c r="L10" s="222">
        <f t="shared" si="4"/>
        <v>6589259806</v>
      </c>
      <c r="M10" s="222">
        <f>SUM(M11:M12)</f>
        <v>1489183700</v>
      </c>
      <c r="N10" s="222">
        <f t="shared" si="4"/>
        <v>0</v>
      </c>
      <c r="O10" s="222">
        <f t="shared" si="4"/>
        <v>0</v>
      </c>
      <c r="P10" s="222">
        <f t="shared" si="4"/>
        <v>0</v>
      </c>
      <c r="Q10" s="222">
        <f t="shared" si="4"/>
        <v>0</v>
      </c>
      <c r="R10" s="222">
        <f t="shared" si="4"/>
        <v>0</v>
      </c>
      <c r="S10" s="222">
        <f t="shared" si="4"/>
        <v>1489183700</v>
      </c>
      <c r="T10" s="223">
        <f>SUM(T11:T12)</f>
        <v>37565374</v>
      </c>
      <c r="U10" s="223">
        <f t="shared" ref="U10:AG10" si="5">SUM(U11:U12)</f>
        <v>0</v>
      </c>
      <c r="V10" s="223">
        <f t="shared" si="5"/>
        <v>0</v>
      </c>
      <c r="W10" s="223">
        <f t="shared" si="5"/>
        <v>0</v>
      </c>
      <c r="X10" s="223">
        <f t="shared" si="5"/>
        <v>0</v>
      </c>
      <c r="Y10" s="223">
        <f t="shared" si="5"/>
        <v>0</v>
      </c>
      <c r="Z10" s="223">
        <f t="shared" si="5"/>
        <v>815000000</v>
      </c>
      <c r="AA10" s="223">
        <f t="shared" si="5"/>
        <v>100000000</v>
      </c>
      <c r="AB10" s="223">
        <f t="shared" si="5"/>
        <v>239532762</v>
      </c>
      <c r="AC10" s="223">
        <f t="shared" si="5"/>
        <v>0</v>
      </c>
      <c r="AD10" s="223">
        <f t="shared" si="5"/>
        <v>0</v>
      </c>
      <c r="AE10" s="223">
        <f t="shared" si="5"/>
        <v>0</v>
      </c>
      <c r="AF10" s="223">
        <f t="shared" si="5"/>
        <v>297085564</v>
      </c>
      <c r="AG10" s="223">
        <f t="shared" si="5"/>
        <v>0</v>
      </c>
      <c r="AH10" s="223">
        <f>SUM(AH11:AH12)</f>
        <v>1489183700</v>
      </c>
      <c r="AI10" s="222">
        <v>1195179075</v>
      </c>
      <c r="AJ10" s="222">
        <v>1337786836</v>
      </c>
      <c r="AK10" s="22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2"/>
      <c r="BN10" s="232"/>
      <c r="BO10" s="232"/>
      <c r="BP10" s="232"/>
      <c r="BQ10" s="232"/>
      <c r="BR10" s="232"/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232"/>
      <c r="CG10" s="232"/>
      <c r="CH10" s="232"/>
      <c r="CI10" s="232"/>
      <c r="CJ10" s="232"/>
      <c r="CK10" s="232"/>
      <c r="CL10" s="232"/>
      <c r="CM10" s="232"/>
      <c r="CN10" s="232"/>
      <c r="CO10" s="232"/>
      <c r="CP10" s="232"/>
      <c r="CQ10" s="232"/>
      <c r="CR10" s="232"/>
      <c r="CS10" s="232"/>
      <c r="CT10" s="232"/>
      <c r="CU10" s="232"/>
      <c r="CV10" s="232"/>
      <c r="CW10" s="232"/>
      <c r="CX10" s="232"/>
      <c r="CY10" s="232"/>
      <c r="CZ10" s="232"/>
      <c r="DA10" s="232"/>
      <c r="DB10" s="232"/>
      <c r="DC10" s="232"/>
      <c r="DD10" s="232"/>
      <c r="DE10" s="232"/>
      <c r="DF10" s="232"/>
      <c r="DG10" s="232"/>
      <c r="DH10" s="232"/>
      <c r="DI10" s="232"/>
      <c r="DJ10" s="232"/>
      <c r="DK10" s="232"/>
      <c r="DL10" s="232"/>
      <c r="DM10" s="232"/>
      <c r="DN10" s="232"/>
      <c r="DO10" s="232"/>
      <c r="DP10" s="232"/>
      <c r="DQ10" s="232"/>
      <c r="DR10" s="232"/>
      <c r="DS10" s="232"/>
      <c r="DT10" s="232"/>
      <c r="DU10" s="232"/>
      <c r="DV10" s="232"/>
      <c r="DW10" s="232"/>
      <c r="DX10" s="232"/>
      <c r="DY10" s="232"/>
      <c r="DZ10" s="232"/>
      <c r="EA10" s="232"/>
      <c r="EB10" s="232"/>
      <c r="EC10" s="232"/>
      <c r="ED10" s="232"/>
      <c r="EE10" s="232"/>
      <c r="EF10" s="232"/>
      <c r="EG10" s="232"/>
      <c r="EH10" s="232"/>
      <c r="EI10" s="232"/>
      <c r="EJ10" s="232"/>
      <c r="EK10" s="232"/>
      <c r="EL10" s="232"/>
      <c r="EM10" s="232"/>
      <c r="EN10" s="232"/>
      <c r="EO10" s="232"/>
      <c r="EP10" s="232"/>
      <c r="EQ10" s="232"/>
      <c r="ER10" s="232"/>
      <c r="ES10" s="232"/>
      <c r="ET10" s="232"/>
      <c r="EU10" s="232"/>
      <c r="EV10" s="232"/>
      <c r="EW10" s="232"/>
      <c r="EX10" s="232"/>
      <c r="EY10" s="232"/>
      <c r="EZ10" s="232"/>
      <c r="FA10" s="232"/>
      <c r="FB10" s="232"/>
      <c r="FC10" s="232"/>
      <c r="FD10" s="232"/>
      <c r="FE10" s="232"/>
      <c r="FF10" s="232"/>
      <c r="FG10" s="232"/>
      <c r="FH10" s="232"/>
      <c r="FI10" s="232"/>
      <c r="FJ10" s="232"/>
      <c r="FK10" s="232"/>
      <c r="FL10" s="232"/>
      <c r="FM10" s="232"/>
      <c r="FN10" s="232"/>
      <c r="FO10" s="232"/>
      <c r="FP10" s="232"/>
      <c r="FQ10" s="232"/>
      <c r="FR10" s="232"/>
      <c r="FS10" s="232"/>
      <c r="FT10" s="232"/>
      <c r="FU10" s="232"/>
      <c r="FV10" s="232"/>
      <c r="FW10" s="232"/>
      <c r="FX10" s="232"/>
      <c r="FY10" s="232"/>
      <c r="FZ10" s="232"/>
      <c r="GA10" s="232"/>
      <c r="GB10" s="232"/>
      <c r="GC10" s="232"/>
      <c r="GD10" s="232"/>
      <c r="GE10" s="232"/>
      <c r="GF10" s="232"/>
      <c r="GG10" s="232"/>
      <c r="GH10" s="232"/>
      <c r="GI10" s="232"/>
      <c r="GJ10" s="232"/>
      <c r="GK10" s="232"/>
      <c r="GL10" s="232"/>
      <c r="GM10" s="232"/>
      <c r="GN10" s="232"/>
      <c r="GO10" s="232"/>
      <c r="GP10" s="232"/>
      <c r="GQ10" s="232"/>
      <c r="GR10" s="232"/>
      <c r="GS10" s="232"/>
      <c r="GT10" s="232"/>
      <c r="GU10" s="232"/>
      <c r="GV10" s="232"/>
      <c r="GW10" s="232"/>
      <c r="GX10" s="232"/>
      <c r="GY10" s="232"/>
      <c r="GZ10" s="232"/>
      <c r="HA10" s="232"/>
      <c r="HB10" s="232"/>
      <c r="HC10" s="232"/>
      <c r="HD10" s="232"/>
      <c r="HE10" s="232"/>
      <c r="HF10" s="232"/>
      <c r="HG10" s="232"/>
      <c r="HH10" s="232"/>
      <c r="HI10" s="232"/>
      <c r="HJ10" s="232"/>
      <c r="HK10" s="232"/>
      <c r="HL10" s="232"/>
      <c r="HM10" s="232"/>
      <c r="HN10" s="232"/>
      <c r="HO10" s="232"/>
      <c r="HP10" s="232"/>
      <c r="HQ10" s="232"/>
      <c r="HR10" s="232"/>
      <c r="HS10" s="232"/>
      <c r="HT10" s="232"/>
      <c r="HU10" s="232"/>
      <c r="HV10" s="232"/>
      <c r="HW10" s="232"/>
      <c r="HX10" s="232"/>
    </row>
    <row r="11" spans="1:232" ht="26.25" customHeight="1">
      <c r="A11" s="200">
        <v>8</v>
      </c>
      <c r="B11" s="226" t="s">
        <v>137</v>
      </c>
      <c r="C11" s="228">
        <v>350000000</v>
      </c>
      <c r="D11" s="228">
        <v>323493600</v>
      </c>
      <c r="E11" s="40"/>
      <c r="F11" s="40"/>
      <c r="G11" s="40"/>
      <c r="H11" s="40"/>
      <c r="I11" s="40">
        <v>1271935666</v>
      </c>
      <c r="J11" s="40">
        <v>3728574777</v>
      </c>
      <c r="K11" s="227">
        <v>749092163</v>
      </c>
      <c r="L11" s="222">
        <f>SUM(C11:K11)</f>
        <v>6423096206</v>
      </c>
      <c r="M11" s="228">
        <f>815000000+100000000</f>
        <v>915000000</v>
      </c>
      <c r="N11" s="228"/>
      <c r="O11" s="40"/>
      <c r="P11" s="40"/>
      <c r="Q11" s="40"/>
      <c r="R11" s="40"/>
      <c r="S11" s="222">
        <f>SUM(M11:R11)</f>
        <v>915000000</v>
      </c>
      <c r="T11" s="229">
        <v>0</v>
      </c>
      <c r="U11" s="229"/>
      <c r="V11" s="229">
        <v>0</v>
      </c>
      <c r="W11" s="229"/>
      <c r="X11" s="229"/>
      <c r="Y11" s="229"/>
      <c r="Z11" s="229">
        <v>815000000</v>
      </c>
      <c r="AA11" s="229">
        <v>100000000</v>
      </c>
      <c r="AB11" s="229"/>
      <c r="AC11" s="229"/>
      <c r="AD11" s="229">
        <v>0</v>
      </c>
      <c r="AE11" s="229"/>
      <c r="AF11" s="229"/>
      <c r="AG11" s="229">
        <v>0</v>
      </c>
      <c r="AH11" s="230">
        <f>SUM(T11:AG11)</f>
        <v>915000000</v>
      </c>
      <c r="AI11" s="40">
        <v>795179075</v>
      </c>
      <c r="AJ11" s="40">
        <v>737786836</v>
      </c>
      <c r="AK11" s="40">
        <f>+S11-AH11</f>
        <v>0</v>
      </c>
      <c r="AL11" s="213">
        <f>+S11/S21*100</f>
        <v>4.4226081443850624</v>
      </c>
    </row>
    <row r="12" spans="1:232" ht="23.25" customHeight="1">
      <c r="A12" s="200">
        <v>9</v>
      </c>
      <c r="B12" s="226" t="s">
        <v>317</v>
      </c>
      <c r="C12" s="40">
        <v>115963600</v>
      </c>
      <c r="D12" s="40">
        <v>0</v>
      </c>
      <c r="E12" s="40">
        <v>0</v>
      </c>
      <c r="F12" s="40">
        <v>0</v>
      </c>
      <c r="G12" s="40">
        <v>50200000</v>
      </c>
      <c r="H12" s="40">
        <v>0</v>
      </c>
      <c r="I12" s="40"/>
      <c r="J12" s="40"/>
      <c r="K12" s="40"/>
      <c r="L12" s="222">
        <f>SUM(C12:K12)</f>
        <v>166163600</v>
      </c>
      <c r="M12" s="40">
        <f>37565374+239532762+297085564</f>
        <v>574183700</v>
      </c>
      <c r="N12" s="40"/>
      <c r="O12" s="40"/>
      <c r="P12" s="40"/>
      <c r="Q12" s="40"/>
      <c r="R12" s="40"/>
      <c r="S12" s="222">
        <f>SUM(M12:R12)</f>
        <v>574183700</v>
      </c>
      <c r="T12" s="229">
        <f>68596464+958110-31989200</f>
        <v>37565374</v>
      </c>
      <c r="U12" s="229"/>
      <c r="V12" s="229">
        <v>0</v>
      </c>
      <c r="W12" s="229"/>
      <c r="X12" s="229"/>
      <c r="Y12" s="229"/>
      <c r="Z12" s="229"/>
      <c r="AA12" s="229"/>
      <c r="AB12" s="229">
        <f>234317972+5214790</f>
        <v>239532762</v>
      </c>
      <c r="AC12" s="229"/>
      <c r="AD12" s="229">
        <v>0</v>
      </c>
      <c r="AE12" s="229"/>
      <c r="AF12" s="229">
        <v>297085564</v>
      </c>
      <c r="AG12" s="229">
        <v>0</v>
      </c>
      <c r="AH12" s="230">
        <f>SUM(T12:AG12)</f>
        <v>574183700</v>
      </c>
      <c r="AI12" s="40">
        <v>400000000</v>
      </c>
      <c r="AJ12" s="40">
        <v>600000000</v>
      </c>
      <c r="AK12" s="40">
        <f>+S12-AH12</f>
        <v>0</v>
      </c>
      <c r="AL12" s="213">
        <f>+S12/S21*100</f>
        <v>2.7752890797739336</v>
      </c>
    </row>
    <row r="13" spans="1:232" ht="36.75" customHeight="1">
      <c r="A13" s="215"/>
      <c r="B13" s="221" t="s">
        <v>318</v>
      </c>
      <c r="C13" s="222">
        <f t="shared" ref="C13:I13" si="6">SUM(C14:C14)</f>
        <v>0</v>
      </c>
      <c r="D13" s="222">
        <f t="shared" si="6"/>
        <v>997997514.579</v>
      </c>
      <c r="E13" s="222">
        <f t="shared" si="6"/>
        <v>0</v>
      </c>
      <c r="F13" s="222">
        <f t="shared" si="6"/>
        <v>0</v>
      </c>
      <c r="G13" s="222">
        <f t="shared" si="6"/>
        <v>950806945.99800003</v>
      </c>
      <c r="H13" s="222">
        <f t="shared" si="6"/>
        <v>0</v>
      </c>
      <c r="I13" s="222">
        <f t="shared" si="6"/>
        <v>100000000</v>
      </c>
      <c r="J13" s="222">
        <f>SUM(J14:J14)</f>
        <v>0</v>
      </c>
      <c r="K13" s="222">
        <f>SUM(K14:K14)</f>
        <v>0</v>
      </c>
      <c r="L13" s="222">
        <f>SUM(L14:L14)</f>
        <v>2048804460.5770001</v>
      </c>
      <c r="M13" s="222">
        <f t="shared" ref="M13:R13" si="7">SUM(M14:M14)</f>
        <v>0</v>
      </c>
      <c r="N13" s="222">
        <f t="shared" si="7"/>
        <v>791245017.62575054</v>
      </c>
      <c r="O13" s="222">
        <f t="shared" si="7"/>
        <v>0</v>
      </c>
      <c r="P13" s="222">
        <f t="shared" si="7"/>
        <v>0</v>
      </c>
      <c r="Q13" s="222">
        <f t="shared" si="7"/>
        <v>1696386720.1800001</v>
      </c>
      <c r="R13" s="222">
        <f t="shared" si="7"/>
        <v>0</v>
      </c>
      <c r="S13" s="222">
        <f>SUM(S14:S14)</f>
        <v>2487631737.8057508</v>
      </c>
      <c r="T13" s="223">
        <f>SUM(T14)</f>
        <v>1200000000</v>
      </c>
      <c r="U13" s="223">
        <f t="shared" ref="U13:AG13" si="8">SUM(U14)</f>
        <v>0</v>
      </c>
      <c r="V13" s="223">
        <f t="shared" si="8"/>
        <v>0</v>
      </c>
      <c r="W13" s="223">
        <f t="shared" si="8"/>
        <v>162595555</v>
      </c>
      <c r="X13" s="223">
        <f t="shared" si="8"/>
        <v>11709397</v>
      </c>
      <c r="Y13" s="223">
        <f t="shared" si="8"/>
        <v>547858568</v>
      </c>
      <c r="Z13" s="223">
        <f t="shared" si="8"/>
        <v>0</v>
      </c>
      <c r="AA13" s="223">
        <f t="shared" si="8"/>
        <v>0</v>
      </c>
      <c r="AB13" s="223">
        <f t="shared" si="8"/>
        <v>0</v>
      </c>
      <c r="AC13" s="223">
        <f t="shared" si="8"/>
        <v>0</v>
      </c>
      <c r="AD13" s="223">
        <f t="shared" si="8"/>
        <v>0</v>
      </c>
      <c r="AE13" s="223">
        <f t="shared" si="8"/>
        <v>370005496</v>
      </c>
      <c r="AF13" s="223">
        <f t="shared" si="8"/>
        <v>0</v>
      </c>
      <c r="AG13" s="223">
        <f t="shared" si="8"/>
        <v>0</v>
      </c>
      <c r="AH13" s="223">
        <f>+AH14</f>
        <v>2292169016</v>
      </c>
      <c r="AI13" s="222">
        <v>2485977269.9000001</v>
      </c>
      <c r="AJ13" s="222">
        <v>2698947215.5</v>
      </c>
      <c r="AK13" s="22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2"/>
      <c r="CA13" s="232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2"/>
      <c r="CS13" s="232"/>
      <c r="CT13" s="232"/>
      <c r="CU13" s="232"/>
      <c r="CV13" s="232"/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32"/>
      <c r="DK13" s="232"/>
      <c r="DL13" s="232"/>
      <c r="DM13" s="232"/>
      <c r="DN13" s="232"/>
      <c r="DO13" s="232"/>
      <c r="DP13" s="232"/>
      <c r="DQ13" s="232"/>
      <c r="DR13" s="232"/>
      <c r="DS13" s="232"/>
      <c r="DT13" s="232"/>
      <c r="DU13" s="232"/>
      <c r="DV13" s="232"/>
      <c r="DW13" s="232"/>
      <c r="DX13" s="232"/>
      <c r="DY13" s="232"/>
      <c r="DZ13" s="232"/>
      <c r="EA13" s="232"/>
      <c r="EB13" s="232"/>
      <c r="EC13" s="232"/>
      <c r="ED13" s="232"/>
      <c r="EE13" s="232"/>
      <c r="EF13" s="232"/>
      <c r="EG13" s="232"/>
      <c r="EH13" s="232"/>
      <c r="EI13" s="232"/>
      <c r="EJ13" s="232"/>
      <c r="EK13" s="232"/>
      <c r="EL13" s="232"/>
      <c r="EM13" s="232"/>
      <c r="EN13" s="232"/>
      <c r="EO13" s="232"/>
      <c r="EP13" s="232"/>
      <c r="EQ13" s="232"/>
      <c r="ER13" s="232"/>
      <c r="ES13" s="232"/>
      <c r="ET13" s="232"/>
      <c r="EU13" s="232"/>
      <c r="EV13" s="232"/>
      <c r="EW13" s="232"/>
      <c r="EX13" s="232"/>
      <c r="EY13" s="232"/>
      <c r="EZ13" s="232"/>
      <c r="FA13" s="232"/>
      <c r="FB13" s="232"/>
      <c r="FC13" s="232"/>
      <c r="FD13" s="232"/>
      <c r="FE13" s="232"/>
      <c r="FF13" s="232"/>
      <c r="FG13" s="232"/>
      <c r="FH13" s="232"/>
      <c r="FI13" s="232"/>
      <c r="FJ13" s="232"/>
      <c r="FK13" s="232"/>
      <c r="FL13" s="232"/>
      <c r="FM13" s="232"/>
      <c r="FN13" s="232"/>
      <c r="FO13" s="232"/>
      <c r="FP13" s="232"/>
      <c r="FQ13" s="232"/>
      <c r="FR13" s="232"/>
      <c r="FS13" s="232"/>
      <c r="FT13" s="232"/>
      <c r="FU13" s="232"/>
      <c r="FV13" s="232"/>
      <c r="FW13" s="232"/>
      <c r="FX13" s="232"/>
      <c r="FY13" s="232"/>
      <c r="FZ13" s="232"/>
      <c r="GA13" s="232"/>
      <c r="GB13" s="232"/>
      <c r="GC13" s="232"/>
      <c r="GD13" s="232"/>
      <c r="GE13" s="232"/>
      <c r="GF13" s="232"/>
      <c r="GG13" s="232"/>
      <c r="GH13" s="232"/>
      <c r="GI13" s="232"/>
      <c r="GJ13" s="232"/>
      <c r="GK13" s="232"/>
      <c r="GL13" s="232"/>
      <c r="GM13" s="232"/>
      <c r="GN13" s="232"/>
      <c r="GO13" s="232"/>
      <c r="GP13" s="232"/>
      <c r="GQ13" s="232"/>
      <c r="GR13" s="232"/>
      <c r="GS13" s="232"/>
      <c r="GT13" s="232"/>
      <c r="GU13" s="232"/>
      <c r="GV13" s="232"/>
      <c r="GW13" s="232"/>
      <c r="GX13" s="232"/>
      <c r="GY13" s="232"/>
      <c r="GZ13" s="232"/>
      <c r="HA13" s="232"/>
      <c r="HB13" s="232"/>
      <c r="HC13" s="232"/>
      <c r="HD13" s="232"/>
      <c r="HE13" s="232"/>
      <c r="HF13" s="232"/>
      <c r="HG13" s="232"/>
      <c r="HH13" s="232"/>
      <c r="HI13" s="232"/>
      <c r="HJ13" s="232"/>
      <c r="HK13" s="232"/>
      <c r="HL13" s="232"/>
      <c r="HM13" s="232"/>
      <c r="HN13" s="232"/>
      <c r="HO13" s="232"/>
      <c r="HP13" s="232"/>
      <c r="HQ13" s="232"/>
      <c r="HR13" s="232"/>
      <c r="HS13" s="232"/>
      <c r="HT13" s="232"/>
      <c r="HU13" s="232"/>
      <c r="HV13" s="232"/>
      <c r="HW13" s="232"/>
      <c r="HX13" s="232"/>
    </row>
    <row r="14" spans="1:232" ht="25.5" customHeight="1">
      <c r="A14" s="200">
        <v>10</v>
      </c>
      <c r="B14" s="226" t="s">
        <v>231</v>
      </c>
      <c r="C14" s="40">
        <v>0</v>
      </c>
      <c r="D14" s="228">
        <v>997997514.579</v>
      </c>
      <c r="E14" s="228">
        <v>0</v>
      </c>
      <c r="F14" s="228">
        <v>0</v>
      </c>
      <c r="G14" s="228">
        <v>950806945.99800003</v>
      </c>
      <c r="H14" s="40">
        <v>0</v>
      </c>
      <c r="I14" s="40">
        <v>100000000</v>
      </c>
      <c r="J14" s="40"/>
      <c r="K14" s="40"/>
      <c r="L14" s="222">
        <f>SUM(C14:K14)</f>
        <v>2048804460.5770001</v>
      </c>
      <c r="M14" s="40"/>
      <c r="N14" s="228">
        <v>791245017.62575054</v>
      </c>
      <c r="O14" s="228"/>
      <c r="P14" s="228"/>
      <c r="Q14" s="228">
        <v>1696386720.1800001</v>
      </c>
      <c r="R14" s="40"/>
      <c r="S14" s="222">
        <f>SUM(M14:R14)</f>
        <v>2487631737.8057508</v>
      </c>
      <c r="T14" s="229">
        <v>1200000000</v>
      </c>
      <c r="U14" s="229"/>
      <c r="V14" s="229">
        <v>0</v>
      </c>
      <c r="W14" s="229">
        <v>162595555</v>
      </c>
      <c r="X14" s="229">
        <v>11709397</v>
      </c>
      <c r="Y14" s="229">
        <v>547858568</v>
      </c>
      <c r="Z14" s="229"/>
      <c r="AA14" s="229"/>
      <c r="AB14" s="229"/>
      <c r="AC14" s="229"/>
      <c r="AD14" s="229">
        <v>0</v>
      </c>
      <c r="AE14" s="229">
        <v>370005496</v>
      </c>
      <c r="AF14" s="229"/>
      <c r="AG14" s="229">
        <v>0</v>
      </c>
      <c r="AH14" s="230">
        <f>SUM(T14:AG14)</f>
        <v>2292169016</v>
      </c>
      <c r="AI14" s="40">
        <v>2485977269.9000001</v>
      </c>
      <c r="AJ14" s="40">
        <v>2698947215.5</v>
      </c>
      <c r="AK14" s="40">
        <f>+S14-AH14</f>
        <v>195462721.80575085</v>
      </c>
      <c r="AL14" s="213">
        <f>+S14/S21*100</f>
        <v>12.023847414044241</v>
      </c>
    </row>
    <row r="15" spans="1:232" ht="25.5" customHeight="1">
      <c r="A15" s="215"/>
      <c r="B15" s="221" t="s">
        <v>319</v>
      </c>
      <c r="C15" s="222">
        <f>SUM(C16:C17)</f>
        <v>773036400.03999996</v>
      </c>
      <c r="D15" s="222">
        <f t="shared" ref="D15:T15" si="9">SUM(D16:D17)</f>
        <v>600000000</v>
      </c>
      <c r="E15" s="222">
        <f t="shared" si="9"/>
        <v>0</v>
      </c>
      <c r="F15" s="222">
        <f t="shared" si="9"/>
        <v>0</v>
      </c>
      <c r="G15" s="222">
        <f t="shared" si="9"/>
        <v>0</v>
      </c>
      <c r="H15" s="222">
        <f t="shared" si="9"/>
        <v>0</v>
      </c>
      <c r="I15" s="222">
        <f t="shared" si="9"/>
        <v>950000000</v>
      </c>
      <c r="J15" s="222">
        <f t="shared" si="9"/>
        <v>0</v>
      </c>
      <c r="K15" s="222">
        <f t="shared" si="9"/>
        <v>0</v>
      </c>
      <c r="L15" s="222">
        <f t="shared" si="9"/>
        <v>2323036400.04</v>
      </c>
      <c r="M15" s="222">
        <f t="shared" si="9"/>
        <v>818010800</v>
      </c>
      <c r="N15" s="222">
        <f t="shared" si="9"/>
        <v>681989200</v>
      </c>
      <c r="O15" s="222">
        <f t="shared" si="9"/>
        <v>0</v>
      </c>
      <c r="P15" s="222">
        <f t="shared" si="9"/>
        <v>0</v>
      </c>
      <c r="Q15" s="222">
        <f t="shared" si="9"/>
        <v>120000000</v>
      </c>
      <c r="R15" s="222">
        <f t="shared" si="9"/>
        <v>0</v>
      </c>
      <c r="S15" s="222">
        <f t="shared" si="9"/>
        <v>1620000000</v>
      </c>
      <c r="T15" s="223">
        <f t="shared" si="9"/>
        <v>681989200</v>
      </c>
      <c r="U15" s="223">
        <f t="shared" ref="U15:AG15" si="10">SUM(U16:U17)</f>
        <v>0</v>
      </c>
      <c r="V15" s="223">
        <f t="shared" si="10"/>
        <v>0</v>
      </c>
      <c r="W15" s="223">
        <f t="shared" si="10"/>
        <v>0</v>
      </c>
      <c r="X15" s="223">
        <f t="shared" si="10"/>
        <v>0</v>
      </c>
      <c r="Y15" s="223">
        <f t="shared" si="10"/>
        <v>0</v>
      </c>
      <c r="Z15" s="223">
        <f t="shared" si="10"/>
        <v>651173586</v>
      </c>
      <c r="AA15" s="223">
        <f t="shared" si="10"/>
        <v>166837214</v>
      </c>
      <c r="AB15" s="223">
        <f t="shared" si="10"/>
        <v>0</v>
      </c>
      <c r="AC15" s="223">
        <f t="shared" si="10"/>
        <v>0</v>
      </c>
      <c r="AD15" s="223">
        <f t="shared" si="10"/>
        <v>0</v>
      </c>
      <c r="AE15" s="223">
        <f t="shared" si="10"/>
        <v>0</v>
      </c>
      <c r="AF15" s="223">
        <f t="shared" si="10"/>
        <v>0</v>
      </c>
      <c r="AG15" s="223">
        <f t="shared" si="10"/>
        <v>0</v>
      </c>
      <c r="AH15" s="223">
        <f>SUM(AH16:AH17)</f>
        <v>1500000000</v>
      </c>
      <c r="AI15" s="222">
        <v>1216939844</v>
      </c>
      <c r="AJ15" s="222">
        <v>1200000000</v>
      </c>
      <c r="AK15" s="22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Q15" s="232"/>
      <c r="CR15" s="232"/>
      <c r="CS15" s="232"/>
      <c r="CT15" s="232"/>
      <c r="CU15" s="232"/>
      <c r="CV15" s="232"/>
      <c r="CW15" s="232"/>
      <c r="CX15" s="232"/>
      <c r="CY15" s="232"/>
      <c r="CZ15" s="232"/>
      <c r="DA15" s="232"/>
      <c r="DB15" s="232"/>
      <c r="DC15" s="232"/>
      <c r="DD15" s="232"/>
      <c r="DE15" s="232"/>
      <c r="DF15" s="232"/>
      <c r="DG15" s="232"/>
      <c r="DH15" s="232"/>
      <c r="DI15" s="232"/>
      <c r="DJ15" s="232"/>
      <c r="DK15" s="232"/>
      <c r="DL15" s="232"/>
      <c r="DM15" s="232"/>
      <c r="DN15" s="232"/>
      <c r="DO15" s="232"/>
      <c r="DP15" s="232"/>
      <c r="DQ15" s="232"/>
      <c r="DR15" s="232"/>
      <c r="DS15" s="232"/>
      <c r="DT15" s="232"/>
      <c r="DU15" s="232"/>
      <c r="DV15" s="232"/>
      <c r="DW15" s="232"/>
      <c r="DX15" s="232"/>
      <c r="DY15" s="232"/>
      <c r="DZ15" s="232"/>
      <c r="EA15" s="232"/>
      <c r="EB15" s="232"/>
      <c r="EC15" s="232"/>
      <c r="ED15" s="232"/>
      <c r="EE15" s="232"/>
      <c r="EF15" s="232"/>
      <c r="EG15" s="232"/>
      <c r="EH15" s="232"/>
      <c r="EI15" s="232"/>
      <c r="EJ15" s="232"/>
      <c r="EK15" s="232"/>
      <c r="EL15" s="232"/>
      <c r="EM15" s="232"/>
      <c r="EN15" s="232"/>
      <c r="EO15" s="232"/>
      <c r="EP15" s="232"/>
      <c r="EQ15" s="232"/>
      <c r="ER15" s="232"/>
      <c r="ES15" s="232"/>
      <c r="ET15" s="232"/>
      <c r="EU15" s="232"/>
      <c r="EV15" s="232"/>
      <c r="EW15" s="232"/>
      <c r="EX15" s="232"/>
      <c r="EY15" s="232"/>
      <c r="EZ15" s="232"/>
      <c r="FA15" s="232"/>
      <c r="FB15" s="232"/>
      <c r="FC15" s="232"/>
      <c r="FD15" s="232"/>
      <c r="FE15" s="232"/>
      <c r="FF15" s="232"/>
      <c r="FG15" s="232"/>
      <c r="FH15" s="232"/>
      <c r="FI15" s="232"/>
      <c r="FJ15" s="232"/>
      <c r="FK15" s="232"/>
      <c r="FL15" s="232"/>
      <c r="FM15" s="232"/>
      <c r="FN15" s="232"/>
      <c r="FO15" s="232"/>
      <c r="FP15" s="232"/>
      <c r="FQ15" s="232"/>
      <c r="FR15" s="232"/>
      <c r="FS15" s="232"/>
      <c r="FT15" s="232"/>
      <c r="FU15" s="232"/>
      <c r="FV15" s="232"/>
      <c r="FW15" s="232"/>
      <c r="FX15" s="232"/>
      <c r="FY15" s="232"/>
      <c r="FZ15" s="232"/>
      <c r="GA15" s="232"/>
      <c r="GB15" s="232"/>
      <c r="GC15" s="232"/>
      <c r="GD15" s="232"/>
      <c r="GE15" s="232"/>
      <c r="GF15" s="232"/>
      <c r="GG15" s="232"/>
      <c r="GH15" s="232"/>
      <c r="GI15" s="232"/>
      <c r="GJ15" s="232"/>
      <c r="GK15" s="232"/>
      <c r="GL15" s="232"/>
      <c r="GM15" s="232"/>
      <c r="GN15" s="232"/>
      <c r="GO15" s="232"/>
      <c r="GP15" s="232"/>
      <c r="GQ15" s="232"/>
      <c r="GR15" s="232"/>
      <c r="GS15" s="232"/>
      <c r="GT15" s="232"/>
      <c r="GU15" s="232"/>
      <c r="GV15" s="232"/>
      <c r="GW15" s="232"/>
      <c r="GX15" s="232"/>
      <c r="GY15" s="232"/>
      <c r="GZ15" s="232"/>
      <c r="HA15" s="232"/>
      <c r="HB15" s="232"/>
      <c r="HC15" s="232"/>
      <c r="HD15" s="232"/>
      <c r="HE15" s="232"/>
      <c r="HF15" s="232"/>
      <c r="HG15" s="232"/>
      <c r="HH15" s="232"/>
      <c r="HI15" s="232"/>
      <c r="HJ15" s="232"/>
      <c r="HK15" s="232"/>
      <c r="HL15" s="232"/>
      <c r="HM15" s="232"/>
      <c r="HN15" s="232"/>
      <c r="HO15" s="232"/>
      <c r="HP15" s="232"/>
      <c r="HQ15" s="232"/>
      <c r="HR15" s="232"/>
      <c r="HS15" s="232"/>
      <c r="HT15" s="232"/>
      <c r="HU15" s="232"/>
      <c r="HV15" s="232"/>
      <c r="HW15" s="232"/>
      <c r="HX15" s="232"/>
    </row>
    <row r="16" spans="1:232" ht="22.5" customHeight="1">
      <c r="A16" s="200">
        <v>12</v>
      </c>
      <c r="B16" s="226" t="s">
        <v>320</v>
      </c>
      <c r="C16" s="40">
        <v>273036400.39999998</v>
      </c>
      <c r="D16" s="228">
        <v>0</v>
      </c>
      <c r="E16" s="40">
        <v>0</v>
      </c>
      <c r="F16" s="40">
        <v>0</v>
      </c>
      <c r="G16" s="40">
        <v>0</v>
      </c>
      <c r="H16" s="40">
        <v>0</v>
      </c>
      <c r="I16" s="40">
        <v>200000000</v>
      </c>
      <c r="J16" s="40"/>
      <c r="K16" s="40"/>
      <c r="L16" s="222">
        <f>SUM(C16:K16)</f>
        <v>473036400.39999998</v>
      </c>
      <c r="M16" s="40">
        <f>151173586+166837214</f>
        <v>318010800</v>
      </c>
      <c r="N16" s="228">
        <v>181989200</v>
      </c>
      <c r="O16" s="40"/>
      <c r="P16" s="40"/>
      <c r="Q16" s="40">
        <v>120000000</v>
      </c>
      <c r="R16" s="40"/>
      <c r="S16" s="222">
        <f>SUM(M16:R16)</f>
        <v>620000000</v>
      </c>
      <c r="T16" s="229">
        <v>181989200</v>
      </c>
      <c r="U16" s="229"/>
      <c r="V16" s="229">
        <v>0</v>
      </c>
      <c r="W16" s="229"/>
      <c r="X16" s="229"/>
      <c r="Y16" s="229"/>
      <c r="Z16" s="229">
        <v>151173586</v>
      </c>
      <c r="AA16" s="229">
        <f>155795324+11041890</f>
        <v>166837214</v>
      </c>
      <c r="AB16" s="229"/>
      <c r="AC16" s="229"/>
      <c r="AD16" s="229">
        <v>0</v>
      </c>
      <c r="AE16" s="229"/>
      <c r="AF16" s="229"/>
      <c r="AG16" s="229">
        <v>0</v>
      </c>
      <c r="AH16" s="230">
        <f>SUM(T16:AG16)</f>
        <v>500000000</v>
      </c>
      <c r="AI16" s="40">
        <v>500000000</v>
      </c>
      <c r="AJ16" s="40">
        <v>500000000</v>
      </c>
      <c r="AK16" s="40">
        <f>+S16-AH16</f>
        <v>120000000</v>
      </c>
      <c r="AL16" s="213">
        <f>+S16/S21*100</f>
        <v>2.9967399448292227</v>
      </c>
    </row>
    <row r="17" spans="1:232" ht="33" customHeight="1">
      <c r="A17" s="200"/>
      <c r="B17" s="226" t="s">
        <v>274</v>
      </c>
      <c r="C17" s="40">
        <v>499999999.63999999</v>
      </c>
      <c r="D17" s="228">
        <v>600000000</v>
      </c>
      <c r="E17" s="40">
        <v>0</v>
      </c>
      <c r="F17" s="40">
        <v>0</v>
      </c>
      <c r="G17" s="40">
        <v>0</v>
      </c>
      <c r="H17" s="40">
        <v>0</v>
      </c>
      <c r="I17" s="227">
        <f>1100000000-350000000</f>
        <v>750000000</v>
      </c>
      <c r="J17" s="40"/>
      <c r="K17" s="40"/>
      <c r="L17" s="222">
        <f>SUM(C17:K17)</f>
        <v>1849999999.6399999</v>
      </c>
      <c r="M17" s="40">
        <v>500000000</v>
      </c>
      <c r="N17" s="228">
        <v>500000000</v>
      </c>
      <c r="O17" s="40"/>
      <c r="P17" s="40"/>
      <c r="Q17" s="40"/>
      <c r="R17" s="40"/>
      <c r="S17" s="222">
        <f>SUM(M17:R17)</f>
        <v>1000000000</v>
      </c>
      <c r="T17" s="229">
        <v>500000000</v>
      </c>
      <c r="U17" s="229"/>
      <c r="V17" s="229">
        <v>0</v>
      </c>
      <c r="W17" s="229"/>
      <c r="X17" s="229"/>
      <c r="Y17" s="229"/>
      <c r="Z17" s="229">
        <v>500000000</v>
      </c>
      <c r="AA17" s="229"/>
      <c r="AB17" s="229"/>
      <c r="AC17" s="229"/>
      <c r="AD17" s="229">
        <v>0</v>
      </c>
      <c r="AE17" s="229"/>
      <c r="AF17" s="229"/>
      <c r="AG17" s="229">
        <v>0</v>
      </c>
      <c r="AH17" s="230">
        <f>SUM(T17:AG17)</f>
        <v>1000000000</v>
      </c>
      <c r="AI17" s="40">
        <v>716939844</v>
      </c>
      <c r="AJ17" s="40">
        <v>700000000</v>
      </c>
      <c r="AK17" s="40">
        <f>+S17-AH17</f>
        <v>0</v>
      </c>
      <c r="AL17" s="213">
        <f>+S17/S21*100</f>
        <v>4.8334515239181011</v>
      </c>
    </row>
    <row r="18" spans="1:232" ht="21" customHeight="1">
      <c r="A18" s="215"/>
      <c r="B18" s="221" t="s">
        <v>321</v>
      </c>
      <c r="C18" s="222">
        <f>SUM(C19:C20)</f>
        <v>347367539</v>
      </c>
      <c r="D18" s="222">
        <f t="shared" ref="D18:K18" si="11">SUM(D19:D20)</f>
        <v>882632461</v>
      </c>
      <c r="E18" s="222">
        <f t="shared" si="11"/>
        <v>0</v>
      </c>
      <c r="F18" s="222">
        <f t="shared" si="11"/>
        <v>0</v>
      </c>
      <c r="G18" s="222">
        <f t="shared" si="11"/>
        <v>0</v>
      </c>
      <c r="H18" s="222">
        <f t="shared" si="11"/>
        <v>0</v>
      </c>
      <c r="I18" s="222">
        <f t="shared" si="11"/>
        <v>2814662737</v>
      </c>
      <c r="J18" s="222">
        <f t="shared" si="11"/>
        <v>0</v>
      </c>
      <c r="K18" s="222">
        <f t="shared" si="11"/>
        <v>0</v>
      </c>
      <c r="L18" s="222">
        <f>+L19+L20</f>
        <v>4044662737</v>
      </c>
      <c r="M18" s="222">
        <f t="shared" ref="M18:R18" si="12">SUM(M19:M20)</f>
        <v>892440171.01667023</v>
      </c>
      <c r="N18" s="222">
        <f t="shared" si="12"/>
        <v>1807559828.9833298</v>
      </c>
      <c r="O18" s="222">
        <f t="shared" si="12"/>
        <v>0</v>
      </c>
      <c r="P18" s="222">
        <f t="shared" si="12"/>
        <v>0</v>
      </c>
      <c r="Q18" s="222">
        <f t="shared" si="12"/>
        <v>0</v>
      </c>
      <c r="R18" s="222">
        <f t="shared" si="12"/>
        <v>0</v>
      </c>
      <c r="S18" s="222">
        <f>+S19+S20</f>
        <v>2700000000</v>
      </c>
      <c r="T18" s="223">
        <f>SUM(T19:T20)</f>
        <v>1388000000</v>
      </c>
      <c r="U18" s="223">
        <f t="shared" ref="U18:AG18" si="13">SUM(U19:U20)</f>
        <v>0</v>
      </c>
      <c r="V18" s="223">
        <f t="shared" si="13"/>
        <v>0</v>
      </c>
      <c r="W18" s="223">
        <f t="shared" si="13"/>
        <v>0</v>
      </c>
      <c r="X18" s="223">
        <f t="shared" si="13"/>
        <v>0</v>
      </c>
      <c r="Y18" s="223">
        <f t="shared" si="13"/>
        <v>0</v>
      </c>
      <c r="Z18" s="223">
        <f t="shared" si="13"/>
        <v>450000000</v>
      </c>
      <c r="AA18" s="223">
        <f t="shared" si="13"/>
        <v>100000000</v>
      </c>
      <c r="AB18" s="223">
        <f t="shared" si="13"/>
        <v>200000000</v>
      </c>
      <c r="AC18" s="223">
        <f t="shared" si="13"/>
        <v>0</v>
      </c>
      <c r="AD18" s="223">
        <f t="shared" si="13"/>
        <v>0</v>
      </c>
      <c r="AE18" s="223">
        <f t="shared" si="13"/>
        <v>0</v>
      </c>
      <c r="AF18" s="223">
        <f t="shared" si="13"/>
        <v>100000000</v>
      </c>
      <c r="AG18" s="223">
        <f t="shared" si="13"/>
        <v>0</v>
      </c>
      <c r="AH18" s="223">
        <f>SUM(AH19:AH20)</f>
        <v>2238000000</v>
      </c>
      <c r="AI18" s="222">
        <v>2250000000</v>
      </c>
      <c r="AJ18" s="222">
        <v>2200000000</v>
      </c>
      <c r="AK18" s="22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2"/>
      <c r="BA18" s="232"/>
      <c r="BB18" s="232"/>
      <c r="BC18" s="232"/>
      <c r="BD18" s="232"/>
      <c r="BE18" s="232"/>
      <c r="BF18" s="232"/>
      <c r="BG18" s="232"/>
      <c r="BH18" s="232"/>
      <c r="BI18" s="232"/>
      <c r="BJ18" s="232"/>
      <c r="BK18" s="232"/>
      <c r="BL18" s="232"/>
      <c r="BM18" s="232"/>
      <c r="BN18" s="232"/>
      <c r="BO18" s="232"/>
      <c r="BP18" s="232"/>
      <c r="BQ18" s="232"/>
      <c r="BR18" s="232"/>
      <c r="BS18" s="232"/>
      <c r="BT18" s="232"/>
      <c r="BU18" s="232"/>
      <c r="BV18" s="232"/>
      <c r="BW18" s="232"/>
      <c r="BX18" s="232"/>
      <c r="BY18" s="232"/>
      <c r="BZ18" s="232"/>
      <c r="CA18" s="232"/>
      <c r="CB18" s="232"/>
      <c r="CC18" s="232"/>
      <c r="CD18" s="232"/>
      <c r="CE18" s="232"/>
      <c r="CF18" s="232"/>
      <c r="CG18" s="232"/>
      <c r="CH18" s="232"/>
      <c r="CI18" s="232"/>
      <c r="CJ18" s="232"/>
      <c r="CK18" s="232"/>
      <c r="CL18" s="232"/>
      <c r="CM18" s="232"/>
      <c r="CN18" s="232"/>
      <c r="CO18" s="232"/>
      <c r="CP18" s="232"/>
      <c r="CQ18" s="232"/>
      <c r="CR18" s="232"/>
      <c r="CS18" s="232"/>
      <c r="CT18" s="232"/>
      <c r="CU18" s="232"/>
      <c r="CV18" s="232"/>
      <c r="CW18" s="232"/>
      <c r="CX18" s="232"/>
      <c r="CY18" s="232"/>
      <c r="CZ18" s="232"/>
      <c r="DA18" s="232"/>
      <c r="DB18" s="232"/>
      <c r="DC18" s="232"/>
      <c r="DD18" s="232"/>
      <c r="DE18" s="232"/>
      <c r="DF18" s="232"/>
      <c r="DG18" s="232"/>
      <c r="DH18" s="232"/>
      <c r="DI18" s="232"/>
      <c r="DJ18" s="232"/>
      <c r="DK18" s="232"/>
      <c r="DL18" s="232"/>
      <c r="DM18" s="232"/>
      <c r="DN18" s="232"/>
      <c r="DO18" s="232"/>
      <c r="DP18" s="232"/>
      <c r="DQ18" s="232"/>
      <c r="DR18" s="232"/>
      <c r="DS18" s="232"/>
      <c r="DT18" s="232"/>
      <c r="DU18" s="232"/>
      <c r="DV18" s="232"/>
      <c r="DW18" s="232"/>
      <c r="DX18" s="232"/>
      <c r="DY18" s="232"/>
      <c r="DZ18" s="232"/>
      <c r="EA18" s="232"/>
      <c r="EB18" s="232"/>
      <c r="EC18" s="232"/>
      <c r="ED18" s="232"/>
      <c r="EE18" s="232"/>
      <c r="EF18" s="232"/>
      <c r="EG18" s="232"/>
      <c r="EH18" s="232"/>
      <c r="EI18" s="232"/>
      <c r="EJ18" s="232"/>
      <c r="EK18" s="232"/>
      <c r="EL18" s="232"/>
      <c r="EM18" s="232"/>
      <c r="EN18" s="232"/>
      <c r="EO18" s="232"/>
      <c r="EP18" s="232"/>
      <c r="EQ18" s="232"/>
      <c r="ER18" s="232"/>
      <c r="ES18" s="232"/>
      <c r="ET18" s="232"/>
      <c r="EU18" s="232"/>
      <c r="EV18" s="232"/>
      <c r="EW18" s="232"/>
      <c r="EX18" s="232"/>
      <c r="EY18" s="232"/>
      <c r="EZ18" s="232"/>
      <c r="FA18" s="232"/>
      <c r="FB18" s="232"/>
      <c r="FC18" s="232"/>
      <c r="FD18" s="232"/>
      <c r="FE18" s="232"/>
      <c r="FF18" s="232"/>
      <c r="FG18" s="232"/>
      <c r="FH18" s="232"/>
      <c r="FI18" s="232"/>
      <c r="FJ18" s="232"/>
      <c r="FK18" s="232"/>
      <c r="FL18" s="232"/>
      <c r="FM18" s="232"/>
      <c r="FN18" s="232"/>
      <c r="FO18" s="232"/>
      <c r="FP18" s="232"/>
      <c r="FQ18" s="232"/>
      <c r="FR18" s="232"/>
      <c r="FS18" s="232"/>
      <c r="FT18" s="232"/>
      <c r="FU18" s="232"/>
      <c r="FV18" s="232"/>
      <c r="FW18" s="232"/>
      <c r="FX18" s="232"/>
      <c r="FY18" s="232"/>
      <c r="FZ18" s="232"/>
      <c r="GA18" s="232"/>
      <c r="GB18" s="232"/>
      <c r="GC18" s="232"/>
      <c r="GD18" s="232"/>
      <c r="GE18" s="232"/>
      <c r="GF18" s="232"/>
      <c r="GG18" s="232"/>
      <c r="GH18" s="232"/>
      <c r="GI18" s="232"/>
      <c r="GJ18" s="232"/>
      <c r="GK18" s="232"/>
      <c r="GL18" s="232"/>
      <c r="GM18" s="232"/>
      <c r="GN18" s="232"/>
      <c r="GO18" s="232"/>
      <c r="GP18" s="232"/>
      <c r="GQ18" s="232"/>
      <c r="GR18" s="232"/>
      <c r="GS18" s="232"/>
      <c r="GT18" s="232"/>
      <c r="GU18" s="232"/>
      <c r="GV18" s="232"/>
      <c r="GW18" s="232"/>
      <c r="GX18" s="232"/>
      <c r="GY18" s="232"/>
      <c r="GZ18" s="232"/>
      <c r="HA18" s="232"/>
      <c r="HB18" s="232"/>
      <c r="HC18" s="232"/>
      <c r="HD18" s="232"/>
      <c r="HE18" s="232"/>
      <c r="HF18" s="232"/>
      <c r="HG18" s="232"/>
      <c r="HH18" s="232"/>
      <c r="HI18" s="232"/>
      <c r="HJ18" s="232"/>
      <c r="HK18" s="232"/>
      <c r="HL18" s="232"/>
      <c r="HM18" s="232"/>
      <c r="HN18" s="232"/>
      <c r="HO18" s="232"/>
      <c r="HP18" s="232"/>
      <c r="HQ18" s="232"/>
      <c r="HR18" s="232"/>
      <c r="HS18" s="232"/>
      <c r="HT18" s="232"/>
      <c r="HU18" s="232"/>
      <c r="HV18" s="232"/>
      <c r="HW18" s="232"/>
      <c r="HX18" s="232"/>
    </row>
    <row r="19" spans="1:232" ht="32.25" customHeight="1">
      <c r="A19" s="200">
        <v>13</v>
      </c>
      <c r="B19" s="226" t="s">
        <v>184</v>
      </c>
      <c r="C19" s="228">
        <v>0</v>
      </c>
      <c r="D19" s="228">
        <v>519999999.99999994</v>
      </c>
      <c r="E19" s="228">
        <v>0</v>
      </c>
      <c r="F19" s="228">
        <v>0</v>
      </c>
      <c r="G19" s="228">
        <v>0</v>
      </c>
      <c r="H19" s="228">
        <v>0</v>
      </c>
      <c r="I19" s="228">
        <f>1914662736+1</f>
        <v>1914662737</v>
      </c>
      <c r="J19" s="228"/>
      <c r="K19" s="228"/>
      <c r="L19" s="222">
        <f>SUM(C19:K19)</f>
        <v>2434662737</v>
      </c>
      <c r="M19" s="228"/>
      <c r="N19" s="228">
        <v>1400000000</v>
      </c>
      <c r="O19" s="228"/>
      <c r="P19" s="228"/>
      <c r="Q19" s="228"/>
      <c r="R19" s="228"/>
      <c r="S19" s="222">
        <f>SUM(M19:R19)</f>
        <v>1400000000</v>
      </c>
      <c r="T19" s="229">
        <v>838000000</v>
      </c>
      <c r="U19" s="229"/>
      <c r="V19" s="229">
        <v>0</v>
      </c>
      <c r="W19" s="229"/>
      <c r="X19" s="229"/>
      <c r="Y19" s="229"/>
      <c r="Z19" s="229"/>
      <c r="AA19" s="229"/>
      <c r="AB19" s="229"/>
      <c r="AC19" s="229"/>
      <c r="AD19" s="229">
        <v>0</v>
      </c>
      <c r="AE19" s="229"/>
      <c r="AF19" s="229">
        <v>100000000</v>
      </c>
      <c r="AG19" s="229">
        <v>0</v>
      </c>
      <c r="AH19" s="230">
        <f>SUM(T19:AG19)</f>
        <v>938000000</v>
      </c>
      <c r="AI19" s="40">
        <v>950000000</v>
      </c>
      <c r="AJ19" s="40">
        <v>700000000</v>
      </c>
      <c r="AK19" s="40">
        <f>+S19-AH19</f>
        <v>462000000</v>
      </c>
      <c r="AL19" s="213">
        <f>+S19/S21*100</f>
        <v>6.766832133485341</v>
      </c>
    </row>
    <row r="20" spans="1:232" ht="33.75" customHeight="1">
      <c r="A20" s="200">
        <v>14</v>
      </c>
      <c r="B20" s="226" t="s">
        <v>112</v>
      </c>
      <c r="C20" s="228">
        <v>347367539</v>
      </c>
      <c r="D20" s="228">
        <v>362632461</v>
      </c>
      <c r="E20" s="228"/>
      <c r="F20" s="228"/>
      <c r="G20" s="228"/>
      <c r="H20" s="228"/>
      <c r="I20" s="228">
        <v>900000000</v>
      </c>
      <c r="J20" s="228"/>
      <c r="K20" s="228"/>
      <c r="L20" s="222">
        <f>SUM(C20:K20)</f>
        <v>1610000000</v>
      </c>
      <c r="M20" s="228">
        <v>892440171.01667023</v>
      </c>
      <c r="N20" s="228">
        <v>407559828.98332977</v>
      </c>
      <c r="O20" s="228"/>
      <c r="P20" s="228"/>
      <c r="Q20" s="228"/>
      <c r="R20" s="228"/>
      <c r="S20" s="222">
        <f>SUM(M20:R20)</f>
        <v>1300000000</v>
      </c>
      <c r="T20" s="229">
        <v>550000000</v>
      </c>
      <c r="U20" s="229"/>
      <c r="V20" s="229">
        <v>0</v>
      </c>
      <c r="W20" s="229"/>
      <c r="X20" s="229"/>
      <c r="Y20" s="229"/>
      <c r="Z20" s="229">
        <v>450000000</v>
      </c>
      <c r="AA20" s="229">
        <v>100000000</v>
      </c>
      <c r="AB20" s="229">
        <v>200000000</v>
      </c>
      <c r="AC20" s="229"/>
      <c r="AD20" s="229">
        <v>0</v>
      </c>
      <c r="AE20" s="229"/>
      <c r="AF20" s="229"/>
      <c r="AG20" s="229">
        <v>0</v>
      </c>
      <c r="AH20" s="230">
        <f>SUM(T20:AG20)</f>
        <v>1300000000</v>
      </c>
      <c r="AI20" s="40">
        <v>1300000000</v>
      </c>
      <c r="AJ20" s="40">
        <v>1500000000</v>
      </c>
      <c r="AK20" s="40">
        <f>+S20-AH20</f>
        <v>0</v>
      </c>
      <c r="AL20" s="213">
        <f>+S20/S21*100</f>
        <v>6.2834869810935308</v>
      </c>
    </row>
    <row r="21" spans="1:232" ht="21.75" customHeight="1">
      <c r="A21" s="200"/>
      <c r="B21" s="234" t="s">
        <v>322</v>
      </c>
      <c r="C21" s="235">
        <f>+C3+C7+C10+C13+C15+C18</f>
        <v>4269534094.8400002</v>
      </c>
      <c r="D21" s="235">
        <f>+D3+D7+D10+D13+D15+D18</f>
        <v>6550752415.2509995</v>
      </c>
      <c r="E21" s="235">
        <f t="shared" ref="E21:K21" si="14">+E3+E7+E10+E13+E15+E18</f>
        <v>1073210483</v>
      </c>
      <c r="F21" s="235">
        <f t="shared" si="14"/>
        <v>1675828372.2</v>
      </c>
      <c r="G21" s="235">
        <f t="shared" si="14"/>
        <v>1001006945.998</v>
      </c>
      <c r="H21" s="235">
        <f t="shared" si="14"/>
        <v>2680000000</v>
      </c>
      <c r="I21" s="235">
        <f>+I3+I7+I10+I13+I15+I18</f>
        <v>10155601484</v>
      </c>
      <c r="J21" s="235">
        <f t="shared" si="14"/>
        <v>3728574777</v>
      </c>
      <c r="K21" s="235">
        <f t="shared" si="14"/>
        <v>749092163</v>
      </c>
      <c r="L21" s="222">
        <f>+L3+L7+L10+L13+L15+L18</f>
        <v>31883600735.289001</v>
      </c>
      <c r="M21" s="235">
        <f>+M3+M7+M10+M13+M15+M18</f>
        <v>5849634671.0166702</v>
      </c>
      <c r="N21" s="235">
        <f>+N3+N7+N10+N13+N15+N18</f>
        <v>6815563981.96</v>
      </c>
      <c r="O21" s="235">
        <f>+O3+O7+O10+O13+O15+O18</f>
        <v>1301738834.6370001</v>
      </c>
      <c r="P21" s="235">
        <f t="shared" ref="P21:U21" si="15">+P3+P7+P10+P13+P15+P18</f>
        <v>1774025048.21</v>
      </c>
      <c r="Q21" s="235">
        <f t="shared" si="15"/>
        <v>1896386720.1800001</v>
      </c>
      <c r="R21" s="235">
        <f t="shared" si="15"/>
        <v>3051800000</v>
      </c>
      <c r="S21" s="235">
        <f>+S3+S7+S10+S13+S15+S18</f>
        <v>20689149256.003674</v>
      </c>
      <c r="T21" s="236">
        <f t="shared" si="15"/>
        <v>5807554574</v>
      </c>
      <c r="U21" s="236">
        <f t="shared" si="15"/>
        <v>1101182762</v>
      </c>
      <c r="V21" s="236">
        <f>864831704*0.9</f>
        <v>778348533.60000002</v>
      </c>
      <c r="W21" s="236">
        <f t="shared" ref="W21:AC21" si="16">+W3+W7+W10+W13+W15+W18</f>
        <v>162595555</v>
      </c>
      <c r="X21" s="236">
        <f t="shared" si="16"/>
        <v>11709397</v>
      </c>
      <c r="Y21" s="236">
        <f t="shared" si="16"/>
        <v>547858568</v>
      </c>
      <c r="Z21" s="237">
        <f t="shared" si="16"/>
        <v>3916173586</v>
      </c>
      <c r="AA21" s="236">
        <f t="shared" si="16"/>
        <v>566837214</v>
      </c>
      <c r="AB21" s="236">
        <f t="shared" si="16"/>
        <v>658350000</v>
      </c>
      <c r="AC21" s="236">
        <f t="shared" si="16"/>
        <v>658437028</v>
      </c>
      <c r="AD21" s="236">
        <f>407359559*0.9</f>
        <v>366623603.10000002</v>
      </c>
      <c r="AE21" s="236">
        <f>+AE3+AE7+AE10+AE13+AE15+AE18</f>
        <v>370005496</v>
      </c>
      <c r="AF21" s="236">
        <f>+AF3+AF7+AF10+AF13+AF15+AF18</f>
        <v>397085564</v>
      </c>
      <c r="AG21" s="236">
        <v>2680000000</v>
      </c>
      <c r="AH21" s="223">
        <f>SUM(T21:AG21)</f>
        <v>18022761880.700001</v>
      </c>
      <c r="AI21" s="40">
        <v>16129358690.099998</v>
      </c>
      <c r="AJ21" s="40">
        <v>16945182320.699999</v>
      </c>
      <c r="AK21" s="238">
        <f>+S21-AH21</f>
        <v>2666387375.3036728</v>
      </c>
    </row>
    <row r="22" spans="1:232" ht="23.25" customHeight="1">
      <c r="A22" s="309" t="s">
        <v>323</v>
      </c>
      <c r="B22" s="309"/>
      <c r="C22" s="239">
        <v>4269534094.8400002</v>
      </c>
      <c r="D22" s="239">
        <v>6550752415.2509995</v>
      </c>
      <c r="E22" s="239">
        <v>1073210483</v>
      </c>
      <c r="F22" s="239">
        <v>1675828372.2</v>
      </c>
      <c r="G22" s="239">
        <v>1001006945.998</v>
      </c>
      <c r="H22" s="239">
        <v>2680000000</v>
      </c>
      <c r="I22" s="239">
        <v>10155601484</v>
      </c>
      <c r="J22" s="239">
        <v>3728574777</v>
      </c>
      <c r="K22" s="239">
        <v>749092163</v>
      </c>
      <c r="L22" s="240">
        <f>SUM(C22:K22)</f>
        <v>31883600735.289001</v>
      </c>
      <c r="M22" s="241">
        <f>5645747098.01667+203887573</f>
        <v>5849634671.0166702</v>
      </c>
      <c r="N22" s="241">
        <v>6815563981.96</v>
      </c>
      <c r="O22" s="241">
        <v>1301738834.6370001</v>
      </c>
      <c r="P22" s="241">
        <v>1774025048.6099999</v>
      </c>
      <c r="Q22" s="241">
        <v>1896386720.1800001</v>
      </c>
      <c r="R22" s="241">
        <v>3051800000</v>
      </c>
      <c r="S22" s="241">
        <f>SUM(M22:R22)</f>
        <v>20689149256.403671</v>
      </c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42"/>
      <c r="AP22" s="242"/>
      <c r="AQ22" s="242"/>
      <c r="AR22" s="242"/>
      <c r="AS22" s="242"/>
      <c r="AT22" s="242"/>
      <c r="AU22" s="242"/>
      <c r="AV22" s="242"/>
      <c r="AW22" s="242"/>
      <c r="AX22" s="242"/>
      <c r="AY22" s="242"/>
      <c r="AZ22" s="242"/>
      <c r="BA22" s="242"/>
      <c r="BB22" s="242"/>
      <c r="BC22" s="242"/>
      <c r="BD22" s="242"/>
      <c r="BE22" s="242"/>
      <c r="BF22" s="242"/>
      <c r="BG22" s="242"/>
      <c r="BH22" s="242"/>
      <c r="BI22" s="242"/>
      <c r="BJ22" s="242"/>
      <c r="BK22" s="242"/>
      <c r="BL22" s="242"/>
      <c r="BM22" s="242"/>
      <c r="BN22" s="242"/>
      <c r="BO22" s="242"/>
      <c r="BP22" s="242"/>
      <c r="BQ22" s="242"/>
      <c r="BR22" s="242"/>
      <c r="BS22" s="242"/>
      <c r="BT22" s="242"/>
      <c r="BU22" s="242"/>
      <c r="BV22" s="242"/>
      <c r="BW22" s="242"/>
      <c r="BX22" s="242"/>
      <c r="BY22" s="242"/>
      <c r="BZ22" s="242"/>
      <c r="CA22" s="242"/>
      <c r="CB22" s="242"/>
      <c r="CC22" s="242"/>
      <c r="CD22" s="242"/>
      <c r="CE22" s="242"/>
      <c r="CF22" s="242"/>
      <c r="CG22" s="242"/>
      <c r="CH22" s="242"/>
      <c r="CI22" s="242"/>
      <c r="CJ22" s="242"/>
      <c r="CK22" s="242"/>
      <c r="CL22" s="242"/>
      <c r="CM22" s="242"/>
      <c r="CN22" s="242"/>
      <c r="CO22" s="242"/>
      <c r="CP22" s="242"/>
      <c r="CQ22" s="242"/>
      <c r="CR22" s="242"/>
      <c r="CS22" s="242"/>
      <c r="CT22" s="242"/>
      <c r="CU22" s="242"/>
      <c r="CV22" s="242"/>
      <c r="CW22" s="242"/>
      <c r="CX22" s="242"/>
      <c r="CY22" s="242"/>
      <c r="CZ22" s="242"/>
      <c r="DA22" s="242"/>
      <c r="DB22" s="242"/>
      <c r="DC22" s="242"/>
      <c r="DD22" s="242"/>
      <c r="DE22" s="242"/>
      <c r="DF22" s="242"/>
      <c r="DG22" s="242"/>
      <c r="DH22" s="242"/>
      <c r="DI22" s="242"/>
      <c r="DJ22" s="242"/>
      <c r="DK22" s="242"/>
      <c r="DL22" s="242"/>
      <c r="DM22" s="242"/>
      <c r="DN22" s="242"/>
      <c r="DO22" s="242"/>
      <c r="DP22" s="242"/>
      <c r="DQ22" s="242"/>
      <c r="DR22" s="242"/>
      <c r="DS22" s="242"/>
      <c r="DT22" s="242"/>
      <c r="DU22" s="242"/>
      <c r="DV22" s="242"/>
      <c r="DW22" s="242"/>
      <c r="DX22" s="242"/>
      <c r="DY22" s="242"/>
      <c r="DZ22" s="242"/>
      <c r="EA22" s="242"/>
      <c r="EB22" s="242"/>
      <c r="EC22" s="242"/>
      <c r="ED22" s="242"/>
      <c r="EE22" s="242"/>
      <c r="EF22" s="242"/>
      <c r="EG22" s="242"/>
      <c r="EH22" s="242"/>
      <c r="EI22" s="242"/>
      <c r="EJ22" s="242"/>
      <c r="EK22" s="242"/>
      <c r="EL22" s="242"/>
      <c r="EM22" s="242"/>
      <c r="EN22" s="242"/>
      <c r="EO22" s="242"/>
      <c r="EP22" s="242"/>
      <c r="EQ22" s="242"/>
      <c r="ER22" s="242"/>
      <c r="ES22" s="242"/>
      <c r="ET22" s="242"/>
      <c r="EU22" s="242"/>
      <c r="EV22" s="242"/>
      <c r="EW22" s="242"/>
      <c r="EX22" s="242"/>
      <c r="EY22" s="242"/>
      <c r="EZ22" s="242"/>
      <c r="FA22" s="242"/>
      <c r="FB22" s="242"/>
      <c r="FC22" s="242"/>
      <c r="FD22" s="242"/>
      <c r="FE22" s="242"/>
      <c r="FF22" s="242"/>
      <c r="FG22" s="242"/>
      <c r="FH22" s="242"/>
      <c r="FI22" s="242"/>
      <c r="FJ22" s="242"/>
      <c r="FK22" s="242"/>
      <c r="FL22" s="242"/>
      <c r="FM22" s="242"/>
      <c r="FN22" s="242"/>
      <c r="FO22" s="242"/>
      <c r="FP22" s="242"/>
      <c r="FQ22" s="242"/>
      <c r="FR22" s="242"/>
      <c r="FS22" s="242"/>
      <c r="FT22" s="242"/>
      <c r="FU22" s="242"/>
      <c r="FV22" s="242"/>
      <c r="FW22" s="242"/>
      <c r="FX22" s="242"/>
      <c r="FY22" s="242"/>
      <c r="FZ22" s="242"/>
      <c r="GA22" s="242"/>
      <c r="GB22" s="242"/>
      <c r="GC22" s="242"/>
      <c r="GD22" s="242"/>
      <c r="GE22" s="242"/>
      <c r="GF22" s="242"/>
      <c r="GG22" s="242"/>
      <c r="GH22" s="242"/>
      <c r="GI22" s="242"/>
      <c r="GJ22" s="242"/>
      <c r="GK22" s="242"/>
      <c r="GL22" s="242"/>
      <c r="GM22" s="242"/>
      <c r="GN22" s="242"/>
      <c r="GO22" s="242"/>
      <c r="GP22" s="242"/>
      <c r="GQ22" s="242"/>
      <c r="GR22" s="242"/>
      <c r="GS22" s="242"/>
      <c r="GT22" s="242"/>
      <c r="GU22" s="242"/>
      <c r="GV22" s="242"/>
      <c r="GW22" s="242"/>
      <c r="GX22" s="242"/>
      <c r="GY22" s="242"/>
      <c r="GZ22" s="242"/>
      <c r="HA22" s="242"/>
      <c r="HB22" s="242"/>
      <c r="HC22" s="242"/>
      <c r="HD22" s="242"/>
      <c r="HE22" s="242"/>
      <c r="HF22" s="242"/>
      <c r="HG22" s="242"/>
      <c r="HH22" s="242"/>
      <c r="HI22" s="242"/>
      <c r="HJ22" s="242"/>
      <c r="HK22" s="242"/>
      <c r="HL22" s="242"/>
      <c r="HM22" s="242"/>
      <c r="HN22" s="242"/>
      <c r="HO22" s="242"/>
      <c r="HP22" s="242"/>
      <c r="HQ22" s="242"/>
      <c r="HR22" s="242"/>
      <c r="HS22" s="242"/>
      <c r="HT22" s="242"/>
      <c r="HU22" s="242"/>
      <c r="HV22" s="242"/>
      <c r="HW22" s="242"/>
      <c r="HX22" s="242"/>
    </row>
  </sheetData>
  <mergeCells count="9">
    <mergeCell ref="AF1:AF2"/>
    <mergeCell ref="AG1:AG2"/>
    <mergeCell ref="A22:B22"/>
    <mergeCell ref="A1:A2"/>
    <mergeCell ref="B1:B2"/>
    <mergeCell ref="C1:L1"/>
    <mergeCell ref="M1:S1"/>
    <mergeCell ref="T1:Z1"/>
    <mergeCell ref="AA1:AE1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workbookViewId="0">
      <pane xSplit="3" ySplit="6" topLeftCell="G7" activePane="bottomRight" state="frozen"/>
      <selection pane="topRight" activeCell="E1" sqref="E1"/>
      <selection pane="bottomLeft" activeCell="A4" sqref="A4"/>
      <selection pane="bottomRight" sqref="A1:L3"/>
    </sheetView>
  </sheetViews>
  <sheetFormatPr baseColWidth="10" defaultRowHeight="15"/>
  <cols>
    <col min="1" max="1" width="32.85546875" customWidth="1"/>
    <col min="4" max="4" width="17" customWidth="1"/>
    <col min="5" max="5" width="19.5703125" customWidth="1"/>
    <col min="6" max="6" width="15.140625" bestFit="1" customWidth="1"/>
    <col min="7" max="7" width="16.85546875" bestFit="1" customWidth="1"/>
    <col min="8" max="8" width="14.7109375" customWidth="1"/>
    <col min="9" max="9" width="15.140625" bestFit="1" customWidth="1"/>
    <col min="10" max="10" width="19.28515625" customWidth="1"/>
    <col min="11" max="11" width="19.5703125" customWidth="1"/>
    <col min="12" max="12" width="14.7109375" customWidth="1"/>
  </cols>
  <sheetData>
    <row r="1" spans="1:12">
      <c r="A1" s="335"/>
      <c r="B1" s="336" t="s">
        <v>356</v>
      </c>
      <c r="C1" s="337"/>
      <c r="D1" s="337"/>
      <c r="E1" s="337"/>
      <c r="F1" s="337"/>
      <c r="G1" s="337"/>
      <c r="H1" s="337"/>
      <c r="I1" s="337"/>
      <c r="J1" s="338"/>
      <c r="K1" s="329" t="s">
        <v>357</v>
      </c>
      <c r="L1" s="330"/>
    </row>
    <row r="2" spans="1:12">
      <c r="A2" s="335"/>
      <c r="B2" s="339"/>
      <c r="C2" s="340"/>
      <c r="D2" s="340"/>
      <c r="E2" s="340"/>
      <c r="F2" s="340"/>
      <c r="G2" s="340"/>
      <c r="H2" s="340"/>
      <c r="I2" s="340"/>
      <c r="J2" s="341"/>
      <c r="K2" s="331" t="s">
        <v>358</v>
      </c>
      <c r="L2" s="332"/>
    </row>
    <row r="3" spans="1:12" ht="15.75" thickBot="1">
      <c r="A3" s="335"/>
      <c r="B3" s="342"/>
      <c r="C3" s="343"/>
      <c r="D3" s="343"/>
      <c r="E3" s="343"/>
      <c r="F3" s="343"/>
      <c r="G3" s="343"/>
      <c r="H3" s="343"/>
      <c r="I3" s="343"/>
      <c r="J3" s="344"/>
      <c r="K3" s="333" t="s">
        <v>359</v>
      </c>
      <c r="L3" s="334"/>
    </row>
    <row r="4" spans="1:12" s="44" customFormat="1">
      <c r="A4" s="349" t="s">
        <v>43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</row>
    <row r="5" spans="1:12" ht="15" customHeight="1">
      <c r="A5" s="281" t="s">
        <v>44</v>
      </c>
      <c r="B5" s="281" t="s">
        <v>2</v>
      </c>
      <c r="C5" s="282" t="s">
        <v>3</v>
      </c>
      <c r="D5" s="282" t="s">
        <v>4</v>
      </c>
      <c r="E5" s="282" t="s">
        <v>5</v>
      </c>
      <c r="F5" s="282" t="s">
        <v>6</v>
      </c>
      <c r="G5" s="282"/>
      <c r="H5" s="282"/>
      <c r="I5" s="282"/>
      <c r="J5" s="282"/>
      <c r="K5" s="282"/>
      <c r="L5" s="282"/>
    </row>
    <row r="6" spans="1:12" ht="38.25">
      <c r="A6" s="281"/>
      <c r="B6" s="281"/>
      <c r="C6" s="282"/>
      <c r="D6" s="282"/>
      <c r="E6" s="282"/>
      <c r="F6" s="30" t="s">
        <v>7</v>
      </c>
      <c r="G6" s="30" t="s">
        <v>8</v>
      </c>
      <c r="H6" s="30" t="s">
        <v>9</v>
      </c>
      <c r="I6" s="30" t="s">
        <v>10</v>
      </c>
      <c r="J6" s="30" t="s">
        <v>11</v>
      </c>
      <c r="K6" s="30" t="s">
        <v>45</v>
      </c>
      <c r="L6" s="30" t="s">
        <v>13</v>
      </c>
    </row>
    <row r="7" spans="1:12" ht="63.75">
      <c r="A7" s="31" t="s">
        <v>46</v>
      </c>
      <c r="B7" s="32" t="s">
        <v>47</v>
      </c>
      <c r="C7" s="33">
        <v>100</v>
      </c>
      <c r="D7" s="34"/>
      <c r="E7" s="34"/>
      <c r="F7" s="34"/>
      <c r="G7" s="34"/>
      <c r="H7" s="34"/>
      <c r="I7" s="34"/>
      <c r="J7" s="34"/>
      <c r="K7" s="34"/>
      <c r="L7" s="34"/>
    </row>
    <row r="8" spans="1:12" ht="63.75">
      <c r="A8" s="36" t="s">
        <v>48</v>
      </c>
      <c r="B8" s="37" t="s">
        <v>49</v>
      </c>
      <c r="C8" s="38">
        <v>3</v>
      </c>
      <c r="D8" s="34"/>
      <c r="E8" s="34"/>
      <c r="F8" s="34"/>
      <c r="G8" s="34"/>
      <c r="H8" s="34"/>
      <c r="I8" s="34"/>
      <c r="J8" s="34"/>
      <c r="K8" s="34"/>
      <c r="L8" s="34"/>
    </row>
    <row r="9" spans="1:12" ht="25.5">
      <c r="A9" s="36" t="s">
        <v>50</v>
      </c>
      <c r="B9" s="39" t="s">
        <v>51</v>
      </c>
      <c r="C9" s="39">
        <v>1</v>
      </c>
      <c r="D9" s="40">
        <f>+E9/C9</f>
        <v>2454377988.3600001</v>
      </c>
      <c r="E9" s="34">
        <f>SUM(F9:L9)</f>
        <v>2454377988.3600001</v>
      </c>
      <c r="F9" s="34"/>
      <c r="G9" s="34">
        <f>(3300*730822)*1.004</f>
        <v>2421359450.4000001</v>
      </c>
      <c r="H9" s="34"/>
      <c r="I9" s="34">
        <f>(45*730822)*1.004</f>
        <v>33018537.960000001</v>
      </c>
      <c r="J9" s="34"/>
      <c r="K9" s="34"/>
      <c r="L9" s="34"/>
    </row>
    <row r="10" spans="1:12" ht="38.25">
      <c r="A10" s="36" t="s">
        <v>52</v>
      </c>
      <c r="B10" s="39" t="s">
        <v>24</v>
      </c>
      <c r="C10" s="39">
        <v>3</v>
      </c>
      <c r="D10" s="34">
        <f>+E10</f>
        <v>1122588313.5999999</v>
      </c>
      <c r="E10" s="34">
        <f>SUM(F10:L10)</f>
        <v>1122588313.5999999</v>
      </c>
      <c r="F10" s="34">
        <v>217025809</v>
      </c>
      <c r="G10" s="34">
        <v>125743491.5999999</v>
      </c>
      <c r="H10" s="34"/>
      <c r="I10" s="34">
        <f>767230693+12588320</f>
        <v>779819013</v>
      </c>
      <c r="J10" s="34"/>
      <c r="K10" s="34"/>
      <c r="L10" s="34"/>
    </row>
    <row r="11" spans="1:12" ht="25.5">
      <c r="A11" s="31" t="s">
        <v>53</v>
      </c>
      <c r="B11" s="32" t="s">
        <v>15</v>
      </c>
      <c r="C11" s="33">
        <v>50</v>
      </c>
      <c r="D11" s="34"/>
      <c r="E11" s="34"/>
      <c r="F11" s="34"/>
      <c r="G11" s="41"/>
      <c r="H11" s="41"/>
      <c r="I11" s="41"/>
      <c r="J11" s="34"/>
      <c r="K11" s="34"/>
      <c r="L11" s="34"/>
    </row>
    <row r="12" spans="1:12" ht="25.5">
      <c r="A12" s="42" t="s">
        <v>54</v>
      </c>
      <c r="B12" s="37" t="s">
        <v>55</v>
      </c>
      <c r="C12" s="38">
        <v>100</v>
      </c>
      <c r="D12" s="43">
        <f>+E12/C12</f>
        <v>1175389.8500000001</v>
      </c>
      <c r="E12" s="34">
        <f>SUM(F12:J12)</f>
        <v>117538985</v>
      </c>
      <c r="F12" s="34"/>
      <c r="G12" s="34">
        <f>80000000-14448925-944250-32319047+5251207</f>
        <v>37538985</v>
      </c>
      <c r="H12" s="34"/>
      <c r="I12" s="44"/>
      <c r="J12" s="34">
        <v>80000000</v>
      </c>
      <c r="K12" s="34" t="s">
        <v>56</v>
      </c>
      <c r="L12" s="34"/>
    </row>
    <row r="13" spans="1:12" ht="38.25">
      <c r="A13" s="45" t="s">
        <v>344</v>
      </c>
      <c r="B13" s="46" t="s">
        <v>55</v>
      </c>
      <c r="C13" s="38">
        <v>50</v>
      </c>
      <c r="D13" s="34"/>
      <c r="E13" s="34"/>
      <c r="F13" s="34"/>
      <c r="G13" s="34"/>
      <c r="H13" s="34"/>
      <c r="I13" s="34"/>
      <c r="J13" s="34"/>
      <c r="K13" s="34"/>
      <c r="L13" s="34"/>
    </row>
    <row r="14" spans="1:12" s="50" customFormat="1" ht="38.25">
      <c r="A14" s="42" t="s">
        <v>57</v>
      </c>
      <c r="B14" s="47" t="s">
        <v>55</v>
      </c>
      <c r="C14" s="38">
        <v>30</v>
      </c>
      <c r="D14" s="48">
        <f>+E14/C14</f>
        <v>6051860.5999999996</v>
      </c>
      <c r="E14" s="49">
        <f>SUM(F14:L14)</f>
        <v>181555818</v>
      </c>
      <c r="F14" s="48">
        <v>5906351</v>
      </c>
      <c r="G14" s="48">
        <f>174705217+944250</f>
        <v>175649467</v>
      </c>
      <c r="H14" s="48"/>
      <c r="I14" s="48"/>
      <c r="J14" s="48"/>
      <c r="K14" s="48"/>
      <c r="L14" s="48"/>
    </row>
    <row r="15" spans="1:12" s="50" customFormat="1" ht="38.25">
      <c r="A15" s="42" t="s">
        <v>58</v>
      </c>
      <c r="B15" s="47" t="s">
        <v>24</v>
      </c>
      <c r="C15" s="47">
        <v>1</v>
      </c>
      <c r="D15" s="48">
        <f>180611568*8%</f>
        <v>14448925.439999999</v>
      </c>
      <c r="E15" s="49">
        <f>SUM(F15:L15)</f>
        <v>14448925</v>
      </c>
      <c r="F15" s="48"/>
      <c r="G15" s="48">
        <v>14448925</v>
      </c>
      <c r="H15" s="48"/>
      <c r="I15" s="48"/>
      <c r="J15" s="48"/>
      <c r="K15" s="48"/>
      <c r="L15" s="48"/>
    </row>
    <row r="16" spans="1:12" s="50" customFormat="1" ht="25.5">
      <c r="A16" s="42" t="s">
        <v>59</v>
      </c>
      <c r="B16" s="47" t="s">
        <v>60</v>
      </c>
      <c r="C16" s="47">
        <v>20000</v>
      </c>
      <c r="D16" s="48">
        <f>1348*1.004</f>
        <v>1353.3920000000001</v>
      </c>
      <c r="E16" s="49">
        <f>+C16*D16</f>
        <v>27067840</v>
      </c>
      <c r="F16" s="48">
        <v>27067840</v>
      </c>
      <c r="G16" s="48"/>
      <c r="H16" s="48"/>
      <c r="I16" s="48"/>
      <c r="J16" s="48"/>
      <c r="K16" s="48"/>
      <c r="L16" s="48"/>
    </row>
    <row r="17" spans="1:12" ht="38.25">
      <c r="A17" s="45" t="s">
        <v>61</v>
      </c>
      <c r="B17" s="46" t="s">
        <v>62</v>
      </c>
      <c r="C17" s="38">
        <v>186</v>
      </c>
      <c r="D17" s="34"/>
      <c r="E17" s="51"/>
      <c r="F17" s="34"/>
      <c r="G17" s="34"/>
      <c r="H17" s="34"/>
      <c r="I17" s="34"/>
      <c r="J17" s="34"/>
      <c r="K17" s="34"/>
      <c r="L17" s="34"/>
    </row>
    <row r="18" spans="1:12" s="50" customFormat="1" ht="51">
      <c r="A18" s="52" t="s">
        <v>63</v>
      </c>
      <c r="B18" s="37" t="s">
        <v>62</v>
      </c>
      <c r="C18" s="38">
        <v>86</v>
      </c>
      <c r="D18" s="48">
        <v>1049317.034883721</v>
      </c>
      <c r="E18" s="49">
        <v>90241265.000000015</v>
      </c>
      <c r="F18" s="48"/>
      <c r="G18" s="48">
        <f>98088332-7847067</f>
        <v>90241265</v>
      </c>
      <c r="H18" s="48"/>
      <c r="I18" s="48"/>
      <c r="J18" s="48"/>
      <c r="K18" s="48"/>
      <c r="L18" s="48"/>
    </row>
    <row r="19" spans="1:12" s="50" customFormat="1" ht="38.25">
      <c r="A19" s="52" t="s">
        <v>58</v>
      </c>
      <c r="B19" s="37" t="s">
        <v>24</v>
      </c>
      <c r="C19" s="47">
        <v>1</v>
      </c>
      <c r="D19" s="48">
        <v>7847066.5600000005</v>
      </c>
      <c r="E19" s="49">
        <f>+D19*C19</f>
        <v>7847066.5600000005</v>
      </c>
      <c r="F19" s="48"/>
      <c r="G19" s="48">
        <f>+E19</f>
        <v>7847066.5600000005</v>
      </c>
      <c r="H19" s="48"/>
      <c r="I19" s="48"/>
      <c r="J19" s="48"/>
      <c r="K19" s="48"/>
      <c r="L19" s="48"/>
    </row>
    <row r="20" spans="1:12" ht="38.25">
      <c r="A20" s="45" t="s">
        <v>64</v>
      </c>
      <c r="B20" s="46" t="s">
        <v>62</v>
      </c>
      <c r="C20" s="46">
        <v>1463</v>
      </c>
      <c r="D20" s="34">
        <f>+E20/C20</f>
        <v>2085987.6965140123</v>
      </c>
      <c r="E20" s="53">
        <f>SUM(F20:L20)</f>
        <v>3051800000</v>
      </c>
      <c r="F20" s="34"/>
      <c r="G20" s="34"/>
      <c r="H20" s="34"/>
      <c r="I20" s="34"/>
      <c r="J20" s="34"/>
      <c r="K20" s="34">
        <v>3051800000</v>
      </c>
      <c r="L20" s="34"/>
    </row>
    <row r="21" spans="1:12" s="44" customFormat="1" ht="51">
      <c r="A21" s="36" t="s">
        <v>65</v>
      </c>
      <c r="B21" s="38" t="s">
        <v>24</v>
      </c>
      <c r="C21" s="38">
        <v>1</v>
      </c>
      <c r="D21" s="34">
        <f>+E21/C21</f>
        <v>180492481</v>
      </c>
      <c r="E21" s="53">
        <v>180492481</v>
      </c>
      <c r="F21" s="34"/>
      <c r="G21" s="34"/>
      <c r="H21" s="34"/>
      <c r="I21" s="34"/>
      <c r="J21" s="34"/>
      <c r="K21" s="34"/>
      <c r="L21" s="34"/>
    </row>
    <row r="22" spans="1:12" ht="38.25">
      <c r="A22" s="45" t="s">
        <v>66</v>
      </c>
      <c r="B22" s="46" t="s">
        <v>62</v>
      </c>
      <c r="C22" s="38">
        <v>7747</v>
      </c>
      <c r="D22" s="34"/>
      <c r="E22" s="53"/>
      <c r="F22" s="41"/>
      <c r="G22" s="34"/>
      <c r="H22" s="34"/>
      <c r="I22" s="34"/>
      <c r="J22" s="34"/>
      <c r="K22" s="34"/>
      <c r="L22" s="34"/>
    </row>
    <row r="23" spans="1:12" s="44" customFormat="1" ht="63.75">
      <c r="A23" s="36" t="s">
        <v>67</v>
      </c>
      <c r="B23" s="37" t="s">
        <v>62</v>
      </c>
      <c r="C23" s="38">
        <v>4297</v>
      </c>
      <c r="D23" s="34">
        <f>+E23/C23</f>
        <v>316124.08098673495</v>
      </c>
      <c r="E23" s="53">
        <v>1358385176</v>
      </c>
      <c r="F23" s="206"/>
      <c r="G23" s="34"/>
      <c r="H23" s="34"/>
      <c r="I23" s="34"/>
      <c r="J23" s="34"/>
      <c r="K23" s="34"/>
      <c r="L23" s="34"/>
    </row>
    <row r="24" spans="1:12" s="44" customFormat="1" ht="38.25">
      <c r="A24" s="52" t="s">
        <v>68</v>
      </c>
      <c r="B24" s="37" t="s">
        <v>24</v>
      </c>
      <c r="C24" s="38">
        <v>1</v>
      </c>
      <c r="D24" s="34"/>
      <c r="E24" s="53">
        <f>+E23*8%</f>
        <v>108670814.08</v>
      </c>
      <c r="F24" s="206"/>
      <c r="G24" s="34"/>
      <c r="H24" s="34"/>
      <c r="I24" s="34"/>
      <c r="J24" s="34"/>
      <c r="K24" s="34"/>
      <c r="L24" s="34"/>
    </row>
    <row r="25" spans="1:12" ht="76.5">
      <c r="A25" s="45" t="s">
        <v>69</v>
      </c>
      <c r="B25" s="46" t="s">
        <v>62</v>
      </c>
      <c r="C25" s="46">
        <v>300</v>
      </c>
      <c r="D25" s="34"/>
      <c r="E25" s="53"/>
      <c r="F25" s="41"/>
      <c r="G25" s="34"/>
      <c r="H25" s="34"/>
      <c r="I25" s="34"/>
      <c r="J25" s="34"/>
      <c r="K25" s="34"/>
      <c r="L25" s="34"/>
    </row>
    <row r="26" spans="1:12" s="44" customFormat="1" ht="38.25">
      <c r="A26" s="36" t="s">
        <v>70</v>
      </c>
      <c r="B26" s="37" t="s">
        <v>62</v>
      </c>
      <c r="C26" s="38">
        <v>300</v>
      </c>
      <c r="D26" s="34">
        <v>800000</v>
      </c>
      <c r="E26" s="53">
        <f>+C26*D26</f>
        <v>240000000</v>
      </c>
      <c r="F26" s="206"/>
      <c r="G26" s="34"/>
      <c r="H26" s="34"/>
      <c r="I26" s="34"/>
      <c r="J26" s="34"/>
      <c r="K26" s="34"/>
      <c r="L26" s="34"/>
    </row>
    <row r="27" spans="1:12" ht="25.5">
      <c r="A27" s="45" t="s">
        <v>71</v>
      </c>
      <c r="B27" s="54" t="s">
        <v>15</v>
      </c>
      <c r="C27" s="54">
        <v>30</v>
      </c>
      <c r="D27" s="55" t="s">
        <v>72</v>
      </c>
      <c r="E27" s="56"/>
      <c r="F27" s="56"/>
      <c r="G27" s="56"/>
      <c r="H27" s="56"/>
      <c r="I27" s="56"/>
      <c r="J27" s="56"/>
      <c r="K27" s="56"/>
      <c r="L27" s="56"/>
    </row>
    <row r="28" spans="1:12">
      <c r="A28" s="279" t="s">
        <v>37</v>
      </c>
      <c r="B28" s="279"/>
      <c r="C28" s="279"/>
      <c r="D28" s="279"/>
      <c r="E28" s="58">
        <f>SUM(E7:E27)-E21-E23-E24-E26</f>
        <v>7067466201.5200005</v>
      </c>
      <c r="F28" s="58">
        <f t="shared" ref="F28:L28" si="0">SUM(F7:F27)</f>
        <v>250000000</v>
      </c>
      <c r="G28" s="58">
        <f t="shared" si="0"/>
        <v>2872828650.5599999</v>
      </c>
      <c r="H28" s="58">
        <f t="shared" si="0"/>
        <v>0</v>
      </c>
      <c r="I28" s="58">
        <f t="shared" si="0"/>
        <v>812837550.96000004</v>
      </c>
      <c r="J28" s="58">
        <f t="shared" si="0"/>
        <v>80000000</v>
      </c>
      <c r="K28" s="58">
        <f t="shared" si="0"/>
        <v>3051800000</v>
      </c>
      <c r="L28" s="58">
        <f t="shared" si="0"/>
        <v>0</v>
      </c>
    </row>
    <row r="29" spans="1:12">
      <c r="A29" s="280" t="s">
        <v>38</v>
      </c>
      <c r="B29" s="280"/>
      <c r="C29" s="280"/>
      <c r="D29" s="280"/>
      <c r="E29" s="58">
        <f>+'FUENTES Y USOS'!S5</f>
        <v>7067466202</v>
      </c>
      <c r="F29" s="59">
        <f>+'FUENTES Y USOS'!M5</f>
        <v>250000000</v>
      </c>
      <c r="G29" s="59">
        <f>+'FUENTES Y USOS'!N5</f>
        <v>2872828651</v>
      </c>
      <c r="H29" s="59">
        <f>+'FUENTES Y USOS'!O5</f>
        <v>0</v>
      </c>
      <c r="I29" s="59">
        <f>+'FUENTES Y USOS'!P5</f>
        <v>812837551</v>
      </c>
      <c r="J29" s="59">
        <f>+'FUENTES Y USOS'!Q5</f>
        <v>80000000</v>
      </c>
      <c r="K29" s="59">
        <f>+'FUENTES Y USOS'!R5</f>
        <v>3051800000</v>
      </c>
      <c r="L29" s="59"/>
    </row>
    <row r="30" spans="1:12">
      <c r="A30" s="279" t="s">
        <v>39</v>
      </c>
      <c r="B30" s="279"/>
      <c r="C30" s="279"/>
      <c r="D30" s="279"/>
      <c r="E30" s="60">
        <f>+E29-E28</f>
        <v>0.47999954223632813</v>
      </c>
      <c r="F30" s="60">
        <f t="shared" ref="F30:L30" si="1">+F29-F28</f>
        <v>0</v>
      </c>
      <c r="G30" s="60">
        <f t="shared" si="1"/>
        <v>0.44000005722045898</v>
      </c>
      <c r="H30" s="60">
        <f t="shared" si="1"/>
        <v>0</v>
      </c>
      <c r="I30" s="60">
        <f t="shared" si="1"/>
        <v>3.9999961853027344E-2</v>
      </c>
      <c r="J30" s="60">
        <f t="shared" si="1"/>
        <v>0</v>
      </c>
      <c r="K30" s="60">
        <f t="shared" si="1"/>
        <v>0</v>
      </c>
      <c r="L30" s="60">
        <f t="shared" si="1"/>
        <v>0</v>
      </c>
    </row>
    <row r="31" spans="1:1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</row>
    <row r="32" spans="1:1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12">
      <c r="A33" s="28"/>
      <c r="B33" s="1" t="s">
        <v>40</v>
      </c>
      <c r="C33" s="1"/>
      <c r="D33" s="1"/>
      <c r="E33" s="35"/>
      <c r="F33" s="35"/>
      <c r="G33" s="35"/>
      <c r="H33" s="35"/>
      <c r="I33" s="35"/>
      <c r="J33" s="35"/>
      <c r="K33" s="35"/>
      <c r="L33" s="35"/>
    </row>
    <row r="34" spans="1:12">
      <c r="A34" s="29"/>
      <c r="B34" s="1" t="s">
        <v>42</v>
      </c>
      <c r="C34" s="1"/>
      <c r="D34" s="1"/>
      <c r="E34" s="35"/>
      <c r="F34" s="35"/>
      <c r="G34" s="35"/>
      <c r="H34" s="35"/>
      <c r="I34" s="35"/>
      <c r="J34" s="35"/>
      <c r="K34" s="35"/>
      <c r="L34" s="35"/>
    </row>
    <row r="35" spans="1:1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</row>
    <row r="36" spans="1:1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1:1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1:1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1:1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1:1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</row>
    <row r="43" spans="1:1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</row>
    <row r="44" spans="1:1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</row>
    <row r="45" spans="1:1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</row>
    <row r="46" spans="1:1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</row>
    <row r="47" spans="1:1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spans="1:1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</row>
    <row r="49" spans="1:1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</row>
    <row r="50" spans="1:1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</row>
    <row r="51" spans="1:1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</row>
    <row r="52" spans="1:1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</row>
    <row r="53" spans="1:1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</row>
    <row r="54" spans="1:1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</row>
    <row r="55" spans="1:1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</row>
    <row r="56" spans="1:1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</row>
    <row r="57" spans="1:1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</row>
    <row r="58" spans="1:1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spans="1:1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</row>
    <row r="60" spans="1:1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1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  <row r="62" spans="1:1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1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</row>
    <row r="68" spans="1:1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1:1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</sheetData>
  <mergeCells count="14">
    <mergeCell ref="B1:J3"/>
    <mergeCell ref="K1:L1"/>
    <mergeCell ref="K2:L2"/>
    <mergeCell ref="K3:L3"/>
    <mergeCell ref="A28:D28"/>
    <mergeCell ref="A29:D29"/>
    <mergeCell ref="A30:D30"/>
    <mergeCell ref="A4:L4"/>
    <mergeCell ref="A5:A6"/>
    <mergeCell ref="B5:B6"/>
    <mergeCell ref="C5:C6"/>
    <mergeCell ref="D5:D6"/>
    <mergeCell ref="E5:E6"/>
    <mergeCell ref="F5:L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>
      <pane xSplit="2" ySplit="6" topLeftCell="F7" activePane="bottomRight" state="frozen"/>
      <selection pane="topRight" activeCell="D1" sqref="D1"/>
      <selection pane="bottomLeft" activeCell="A4" sqref="A4"/>
      <selection pane="bottomRight" sqref="A1:L3"/>
    </sheetView>
  </sheetViews>
  <sheetFormatPr baseColWidth="10" defaultRowHeight="12.75"/>
  <cols>
    <col min="1" max="1" width="36.28515625" style="114" customWidth="1"/>
    <col min="2" max="2" width="19.28515625" style="114" customWidth="1"/>
    <col min="3" max="3" width="16" style="114" customWidth="1"/>
    <col min="4" max="4" width="21" style="114" customWidth="1"/>
    <col min="5" max="5" width="20.5703125" style="114" customWidth="1"/>
    <col min="6" max="6" width="15" style="114" customWidth="1"/>
    <col min="7" max="7" width="11.5703125" style="114" bestFit="1" customWidth="1"/>
    <col min="8" max="8" width="16.5703125" style="114" bestFit="1" customWidth="1"/>
    <col min="9" max="10" width="13.85546875" style="114" bestFit="1" customWidth="1"/>
    <col min="11" max="11" width="14.42578125" style="114" customWidth="1"/>
    <col min="12" max="12" width="14.85546875" style="114" bestFit="1" customWidth="1"/>
    <col min="13" max="256" width="11.42578125" style="114"/>
    <col min="257" max="257" width="36.28515625" style="114" customWidth="1"/>
    <col min="258" max="258" width="19.28515625" style="114" customWidth="1"/>
    <col min="259" max="259" width="16" style="114" customWidth="1"/>
    <col min="260" max="260" width="21" style="114" customWidth="1"/>
    <col min="261" max="261" width="20.5703125" style="114" customWidth="1"/>
    <col min="262" max="262" width="15" style="114" customWidth="1"/>
    <col min="263" max="263" width="11.5703125" style="114" bestFit="1" customWidth="1"/>
    <col min="264" max="264" width="16.5703125" style="114" bestFit="1" customWidth="1"/>
    <col min="265" max="266" width="13.85546875" style="114" bestFit="1" customWidth="1"/>
    <col min="267" max="267" width="14.42578125" style="114" customWidth="1"/>
    <col min="268" max="268" width="14.85546875" style="114" bestFit="1" customWidth="1"/>
    <col min="269" max="512" width="11.42578125" style="114"/>
    <col min="513" max="513" width="36.28515625" style="114" customWidth="1"/>
    <col min="514" max="514" width="19.28515625" style="114" customWidth="1"/>
    <col min="515" max="515" width="16" style="114" customWidth="1"/>
    <col min="516" max="516" width="21" style="114" customWidth="1"/>
    <col min="517" max="517" width="20.5703125" style="114" customWidth="1"/>
    <col min="518" max="518" width="15" style="114" customWidth="1"/>
    <col min="519" max="519" width="11.5703125" style="114" bestFit="1" customWidth="1"/>
    <col min="520" max="520" width="16.5703125" style="114" bestFit="1" customWidth="1"/>
    <col min="521" max="522" width="13.85546875" style="114" bestFit="1" customWidth="1"/>
    <col min="523" max="523" width="14.42578125" style="114" customWidth="1"/>
    <col min="524" max="524" width="14.85546875" style="114" bestFit="1" customWidth="1"/>
    <col min="525" max="768" width="11.42578125" style="114"/>
    <col min="769" max="769" width="36.28515625" style="114" customWidth="1"/>
    <col min="770" max="770" width="19.28515625" style="114" customWidth="1"/>
    <col min="771" max="771" width="16" style="114" customWidth="1"/>
    <col min="772" max="772" width="21" style="114" customWidth="1"/>
    <col min="773" max="773" width="20.5703125" style="114" customWidth="1"/>
    <col min="774" max="774" width="15" style="114" customWidth="1"/>
    <col min="775" max="775" width="11.5703125" style="114" bestFit="1" customWidth="1"/>
    <col min="776" max="776" width="16.5703125" style="114" bestFit="1" customWidth="1"/>
    <col min="777" max="778" width="13.85546875" style="114" bestFit="1" customWidth="1"/>
    <col min="779" max="779" width="14.42578125" style="114" customWidth="1"/>
    <col min="780" max="780" width="14.85546875" style="114" bestFit="1" customWidth="1"/>
    <col min="781" max="1024" width="11.42578125" style="114"/>
    <col min="1025" max="1025" width="36.28515625" style="114" customWidth="1"/>
    <col min="1026" max="1026" width="19.28515625" style="114" customWidth="1"/>
    <col min="1027" max="1027" width="16" style="114" customWidth="1"/>
    <col min="1028" max="1028" width="21" style="114" customWidth="1"/>
    <col min="1029" max="1029" width="20.5703125" style="114" customWidth="1"/>
    <col min="1030" max="1030" width="15" style="114" customWidth="1"/>
    <col min="1031" max="1031" width="11.5703125" style="114" bestFit="1" customWidth="1"/>
    <col min="1032" max="1032" width="16.5703125" style="114" bestFit="1" customWidth="1"/>
    <col min="1033" max="1034" width="13.85546875" style="114" bestFit="1" customWidth="1"/>
    <col min="1035" max="1035" width="14.42578125" style="114" customWidth="1"/>
    <col min="1036" max="1036" width="14.85546875" style="114" bestFit="1" customWidth="1"/>
    <col min="1037" max="1280" width="11.42578125" style="114"/>
    <col min="1281" max="1281" width="36.28515625" style="114" customWidth="1"/>
    <col min="1282" max="1282" width="19.28515625" style="114" customWidth="1"/>
    <col min="1283" max="1283" width="16" style="114" customWidth="1"/>
    <col min="1284" max="1284" width="21" style="114" customWidth="1"/>
    <col min="1285" max="1285" width="20.5703125" style="114" customWidth="1"/>
    <col min="1286" max="1286" width="15" style="114" customWidth="1"/>
    <col min="1287" max="1287" width="11.5703125" style="114" bestFit="1" customWidth="1"/>
    <col min="1288" max="1288" width="16.5703125" style="114" bestFit="1" customWidth="1"/>
    <col min="1289" max="1290" width="13.85546875" style="114" bestFit="1" customWidth="1"/>
    <col min="1291" max="1291" width="14.42578125" style="114" customWidth="1"/>
    <col min="1292" max="1292" width="14.85546875" style="114" bestFit="1" customWidth="1"/>
    <col min="1293" max="1536" width="11.42578125" style="114"/>
    <col min="1537" max="1537" width="36.28515625" style="114" customWidth="1"/>
    <col min="1538" max="1538" width="19.28515625" style="114" customWidth="1"/>
    <col min="1539" max="1539" width="16" style="114" customWidth="1"/>
    <col min="1540" max="1540" width="21" style="114" customWidth="1"/>
    <col min="1541" max="1541" width="20.5703125" style="114" customWidth="1"/>
    <col min="1542" max="1542" width="15" style="114" customWidth="1"/>
    <col min="1543" max="1543" width="11.5703125" style="114" bestFit="1" customWidth="1"/>
    <col min="1544" max="1544" width="16.5703125" style="114" bestFit="1" customWidth="1"/>
    <col min="1545" max="1546" width="13.85546875" style="114" bestFit="1" customWidth="1"/>
    <col min="1547" max="1547" width="14.42578125" style="114" customWidth="1"/>
    <col min="1548" max="1548" width="14.85546875" style="114" bestFit="1" customWidth="1"/>
    <col min="1549" max="1792" width="11.42578125" style="114"/>
    <col min="1793" max="1793" width="36.28515625" style="114" customWidth="1"/>
    <col min="1794" max="1794" width="19.28515625" style="114" customWidth="1"/>
    <col min="1795" max="1795" width="16" style="114" customWidth="1"/>
    <col min="1796" max="1796" width="21" style="114" customWidth="1"/>
    <col min="1797" max="1797" width="20.5703125" style="114" customWidth="1"/>
    <col min="1798" max="1798" width="15" style="114" customWidth="1"/>
    <col min="1799" max="1799" width="11.5703125" style="114" bestFit="1" customWidth="1"/>
    <col min="1800" max="1800" width="16.5703125" style="114" bestFit="1" customWidth="1"/>
    <col min="1801" max="1802" width="13.85546875" style="114" bestFit="1" customWidth="1"/>
    <col min="1803" max="1803" width="14.42578125" style="114" customWidth="1"/>
    <col min="1804" max="1804" width="14.85546875" style="114" bestFit="1" customWidth="1"/>
    <col min="1805" max="2048" width="11.42578125" style="114"/>
    <col min="2049" max="2049" width="36.28515625" style="114" customWidth="1"/>
    <col min="2050" max="2050" width="19.28515625" style="114" customWidth="1"/>
    <col min="2051" max="2051" width="16" style="114" customWidth="1"/>
    <col min="2052" max="2052" width="21" style="114" customWidth="1"/>
    <col min="2053" max="2053" width="20.5703125" style="114" customWidth="1"/>
    <col min="2054" max="2054" width="15" style="114" customWidth="1"/>
    <col min="2055" max="2055" width="11.5703125" style="114" bestFit="1" customWidth="1"/>
    <col min="2056" max="2056" width="16.5703125" style="114" bestFit="1" customWidth="1"/>
    <col min="2057" max="2058" width="13.85546875" style="114" bestFit="1" customWidth="1"/>
    <col min="2059" max="2059" width="14.42578125" style="114" customWidth="1"/>
    <col min="2060" max="2060" width="14.85546875" style="114" bestFit="1" customWidth="1"/>
    <col min="2061" max="2304" width="11.42578125" style="114"/>
    <col min="2305" max="2305" width="36.28515625" style="114" customWidth="1"/>
    <col min="2306" max="2306" width="19.28515625" style="114" customWidth="1"/>
    <col min="2307" max="2307" width="16" style="114" customWidth="1"/>
    <col min="2308" max="2308" width="21" style="114" customWidth="1"/>
    <col min="2309" max="2309" width="20.5703125" style="114" customWidth="1"/>
    <col min="2310" max="2310" width="15" style="114" customWidth="1"/>
    <col min="2311" max="2311" width="11.5703125" style="114" bestFit="1" customWidth="1"/>
    <col min="2312" max="2312" width="16.5703125" style="114" bestFit="1" customWidth="1"/>
    <col min="2313" max="2314" width="13.85546875" style="114" bestFit="1" customWidth="1"/>
    <col min="2315" max="2315" width="14.42578125" style="114" customWidth="1"/>
    <col min="2316" max="2316" width="14.85546875" style="114" bestFit="1" customWidth="1"/>
    <col min="2317" max="2560" width="11.42578125" style="114"/>
    <col min="2561" max="2561" width="36.28515625" style="114" customWidth="1"/>
    <col min="2562" max="2562" width="19.28515625" style="114" customWidth="1"/>
    <col min="2563" max="2563" width="16" style="114" customWidth="1"/>
    <col min="2564" max="2564" width="21" style="114" customWidth="1"/>
    <col min="2565" max="2565" width="20.5703125" style="114" customWidth="1"/>
    <col min="2566" max="2566" width="15" style="114" customWidth="1"/>
    <col min="2567" max="2567" width="11.5703125" style="114" bestFit="1" customWidth="1"/>
    <col min="2568" max="2568" width="16.5703125" style="114" bestFit="1" customWidth="1"/>
    <col min="2569" max="2570" width="13.85546875" style="114" bestFit="1" customWidth="1"/>
    <col min="2571" max="2571" width="14.42578125" style="114" customWidth="1"/>
    <col min="2572" max="2572" width="14.85546875" style="114" bestFit="1" customWidth="1"/>
    <col min="2573" max="2816" width="11.42578125" style="114"/>
    <col min="2817" max="2817" width="36.28515625" style="114" customWidth="1"/>
    <col min="2818" max="2818" width="19.28515625" style="114" customWidth="1"/>
    <col min="2819" max="2819" width="16" style="114" customWidth="1"/>
    <col min="2820" max="2820" width="21" style="114" customWidth="1"/>
    <col min="2821" max="2821" width="20.5703125" style="114" customWidth="1"/>
    <col min="2822" max="2822" width="15" style="114" customWidth="1"/>
    <col min="2823" max="2823" width="11.5703125" style="114" bestFit="1" customWidth="1"/>
    <col min="2824" max="2824" width="16.5703125" style="114" bestFit="1" customWidth="1"/>
    <col min="2825" max="2826" width="13.85546875" style="114" bestFit="1" customWidth="1"/>
    <col min="2827" max="2827" width="14.42578125" style="114" customWidth="1"/>
    <col min="2828" max="2828" width="14.85546875" style="114" bestFit="1" customWidth="1"/>
    <col min="2829" max="3072" width="11.42578125" style="114"/>
    <col min="3073" max="3073" width="36.28515625" style="114" customWidth="1"/>
    <col min="3074" max="3074" width="19.28515625" style="114" customWidth="1"/>
    <col min="3075" max="3075" width="16" style="114" customWidth="1"/>
    <col min="3076" max="3076" width="21" style="114" customWidth="1"/>
    <col min="3077" max="3077" width="20.5703125" style="114" customWidth="1"/>
    <col min="3078" max="3078" width="15" style="114" customWidth="1"/>
    <col min="3079" max="3079" width="11.5703125" style="114" bestFit="1" customWidth="1"/>
    <col min="3080" max="3080" width="16.5703125" style="114" bestFit="1" customWidth="1"/>
    <col min="3081" max="3082" width="13.85546875" style="114" bestFit="1" customWidth="1"/>
    <col min="3083" max="3083" width="14.42578125" style="114" customWidth="1"/>
    <col min="3084" max="3084" width="14.85546875" style="114" bestFit="1" customWidth="1"/>
    <col min="3085" max="3328" width="11.42578125" style="114"/>
    <col min="3329" max="3329" width="36.28515625" style="114" customWidth="1"/>
    <col min="3330" max="3330" width="19.28515625" style="114" customWidth="1"/>
    <col min="3331" max="3331" width="16" style="114" customWidth="1"/>
    <col min="3332" max="3332" width="21" style="114" customWidth="1"/>
    <col min="3333" max="3333" width="20.5703125" style="114" customWidth="1"/>
    <col min="3334" max="3334" width="15" style="114" customWidth="1"/>
    <col min="3335" max="3335" width="11.5703125" style="114" bestFit="1" customWidth="1"/>
    <col min="3336" max="3336" width="16.5703125" style="114" bestFit="1" customWidth="1"/>
    <col min="3337" max="3338" width="13.85546875" style="114" bestFit="1" customWidth="1"/>
    <col min="3339" max="3339" width="14.42578125" style="114" customWidth="1"/>
    <col min="3340" max="3340" width="14.85546875" style="114" bestFit="1" customWidth="1"/>
    <col min="3341" max="3584" width="11.42578125" style="114"/>
    <col min="3585" max="3585" width="36.28515625" style="114" customWidth="1"/>
    <col min="3586" max="3586" width="19.28515625" style="114" customWidth="1"/>
    <col min="3587" max="3587" width="16" style="114" customWidth="1"/>
    <col min="3588" max="3588" width="21" style="114" customWidth="1"/>
    <col min="3589" max="3589" width="20.5703125" style="114" customWidth="1"/>
    <col min="3590" max="3590" width="15" style="114" customWidth="1"/>
    <col min="3591" max="3591" width="11.5703125" style="114" bestFit="1" customWidth="1"/>
    <col min="3592" max="3592" width="16.5703125" style="114" bestFit="1" customWidth="1"/>
    <col min="3593" max="3594" width="13.85546875" style="114" bestFit="1" customWidth="1"/>
    <col min="3595" max="3595" width="14.42578125" style="114" customWidth="1"/>
    <col min="3596" max="3596" width="14.85546875" style="114" bestFit="1" customWidth="1"/>
    <col min="3597" max="3840" width="11.42578125" style="114"/>
    <col min="3841" max="3841" width="36.28515625" style="114" customWidth="1"/>
    <col min="3842" max="3842" width="19.28515625" style="114" customWidth="1"/>
    <col min="3843" max="3843" width="16" style="114" customWidth="1"/>
    <col min="3844" max="3844" width="21" style="114" customWidth="1"/>
    <col min="3845" max="3845" width="20.5703125" style="114" customWidth="1"/>
    <col min="3846" max="3846" width="15" style="114" customWidth="1"/>
    <col min="3847" max="3847" width="11.5703125" style="114" bestFit="1" customWidth="1"/>
    <col min="3848" max="3848" width="16.5703125" style="114" bestFit="1" customWidth="1"/>
    <col min="3849" max="3850" width="13.85546875" style="114" bestFit="1" customWidth="1"/>
    <col min="3851" max="3851" width="14.42578125" style="114" customWidth="1"/>
    <col min="3852" max="3852" width="14.85546875" style="114" bestFit="1" customWidth="1"/>
    <col min="3853" max="4096" width="11.42578125" style="114"/>
    <col min="4097" max="4097" width="36.28515625" style="114" customWidth="1"/>
    <col min="4098" max="4098" width="19.28515625" style="114" customWidth="1"/>
    <col min="4099" max="4099" width="16" style="114" customWidth="1"/>
    <col min="4100" max="4100" width="21" style="114" customWidth="1"/>
    <col min="4101" max="4101" width="20.5703125" style="114" customWidth="1"/>
    <col min="4102" max="4102" width="15" style="114" customWidth="1"/>
    <col min="4103" max="4103" width="11.5703125" style="114" bestFit="1" customWidth="1"/>
    <col min="4104" max="4104" width="16.5703125" style="114" bestFit="1" customWidth="1"/>
    <col min="4105" max="4106" width="13.85546875" style="114" bestFit="1" customWidth="1"/>
    <col min="4107" max="4107" width="14.42578125" style="114" customWidth="1"/>
    <col min="4108" max="4108" width="14.85546875" style="114" bestFit="1" customWidth="1"/>
    <col min="4109" max="4352" width="11.42578125" style="114"/>
    <col min="4353" max="4353" width="36.28515625" style="114" customWidth="1"/>
    <col min="4354" max="4354" width="19.28515625" style="114" customWidth="1"/>
    <col min="4355" max="4355" width="16" style="114" customWidth="1"/>
    <col min="4356" max="4356" width="21" style="114" customWidth="1"/>
    <col min="4357" max="4357" width="20.5703125" style="114" customWidth="1"/>
    <col min="4358" max="4358" width="15" style="114" customWidth="1"/>
    <col min="4359" max="4359" width="11.5703125" style="114" bestFit="1" customWidth="1"/>
    <col min="4360" max="4360" width="16.5703125" style="114" bestFit="1" customWidth="1"/>
    <col min="4361" max="4362" width="13.85546875" style="114" bestFit="1" customWidth="1"/>
    <col min="4363" max="4363" width="14.42578125" style="114" customWidth="1"/>
    <col min="4364" max="4364" width="14.85546875" style="114" bestFit="1" customWidth="1"/>
    <col min="4365" max="4608" width="11.42578125" style="114"/>
    <col min="4609" max="4609" width="36.28515625" style="114" customWidth="1"/>
    <col min="4610" max="4610" width="19.28515625" style="114" customWidth="1"/>
    <col min="4611" max="4611" width="16" style="114" customWidth="1"/>
    <col min="4612" max="4612" width="21" style="114" customWidth="1"/>
    <col min="4613" max="4613" width="20.5703125" style="114" customWidth="1"/>
    <col min="4614" max="4614" width="15" style="114" customWidth="1"/>
    <col min="4615" max="4615" width="11.5703125" style="114" bestFit="1" customWidth="1"/>
    <col min="4616" max="4616" width="16.5703125" style="114" bestFit="1" customWidth="1"/>
    <col min="4617" max="4618" width="13.85546875" style="114" bestFit="1" customWidth="1"/>
    <col min="4619" max="4619" width="14.42578125" style="114" customWidth="1"/>
    <col min="4620" max="4620" width="14.85546875" style="114" bestFit="1" customWidth="1"/>
    <col min="4621" max="4864" width="11.42578125" style="114"/>
    <col min="4865" max="4865" width="36.28515625" style="114" customWidth="1"/>
    <col min="4866" max="4866" width="19.28515625" style="114" customWidth="1"/>
    <col min="4867" max="4867" width="16" style="114" customWidth="1"/>
    <col min="4868" max="4868" width="21" style="114" customWidth="1"/>
    <col min="4869" max="4869" width="20.5703125" style="114" customWidth="1"/>
    <col min="4870" max="4870" width="15" style="114" customWidth="1"/>
    <col min="4871" max="4871" width="11.5703125" style="114" bestFit="1" customWidth="1"/>
    <col min="4872" max="4872" width="16.5703125" style="114" bestFit="1" customWidth="1"/>
    <col min="4873" max="4874" width="13.85546875" style="114" bestFit="1" customWidth="1"/>
    <col min="4875" max="4875" width="14.42578125" style="114" customWidth="1"/>
    <col min="4876" max="4876" width="14.85546875" style="114" bestFit="1" customWidth="1"/>
    <col min="4877" max="5120" width="11.42578125" style="114"/>
    <col min="5121" max="5121" width="36.28515625" style="114" customWidth="1"/>
    <col min="5122" max="5122" width="19.28515625" style="114" customWidth="1"/>
    <col min="5123" max="5123" width="16" style="114" customWidth="1"/>
    <col min="5124" max="5124" width="21" style="114" customWidth="1"/>
    <col min="5125" max="5125" width="20.5703125" style="114" customWidth="1"/>
    <col min="5126" max="5126" width="15" style="114" customWidth="1"/>
    <col min="5127" max="5127" width="11.5703125" style="114" bestFit="1" customWidth="1"/>
    <col min="5128" max="5128" width="16.5703125" style="114" bestFit="1" customWidth="1"/>
    <col min="5129" max="5130" width="13.85546875" style="114" bestFit="1" customWidth="1"/>
    <col min="5131" max="5131" width="14.42578125" style="114" customWidth="1"/>
    <col min="5132" max="5132" width="14.85546875" style="114" bestFit="1" customWidth="1"/>
    <col min="5133" max="5376" width="11.42578125" style="114"/>
    <col min="5377" max="5377" width="36.28515625" style="114" customWidth="1"/>
    <col min="5378" max="5378" width="19.28515625" style="114" customWidth="1"/>
    <col min="5379" max="5379" width="16" style="114" customWidth="1"/>
    <col min="5380" max="5380" width="21" style="114" customWidth="1"/>
    <col min="5381" max="5381" width="20.5703125" style="114" customWidth="1"/>
    <col min="5382" max="5382" width="15" style="114" customWidth="1"/>
    <col min="5383" max="5383" width="11.5703125" style="114" bestFit="1" customWidth="1"/>
    <col min="5384" max="5384" width="16.5703125" style="114" bestFit="1" customWidth="1"/>
    <col min="5385" max="5386" width="13.85546875" style="114" bestFit="1" customWidth="1"/>
    <col min="5387" max="5387" width="14.42578125" style="114" customWidth="1"/>
    <col min="5388" max="5388" width="14.85546875" style="114" bestFit="1" customWidth="1"/>
    <col min="5389" max="5632" width="11.42578125" style="114"/>
    <col min="5633" max="5633" width="36.28515625" style="114" customWidth="1"/>
    <col min="5634" max="5634" width="19.28515625" style="114" customWidth="1"/>
    <col min="5635" max="5635" width="16" style="114" customWidth="1"/>
    <col min="5636" max="5636" width="21" style="114" customWidth="1"/>
    <col min="5637" max="5637" width="20.5703125" style="114" customWidth="1"/>
    <col min="5638" max="5638" width="15" style="114" customWidth="1"/>
    <col min="5639" max="5639" width="11.5703125" style="114" bestFit="1" customWidth="1"/>
    <col min="5640" max="5640" width="16.5703125" style="114" bestFit="1" customWidth="1"/>
    <col min="5641" max="5642" width="13.85546875" style="114" bestFit="1" customWidth="1"/>
    <col min="5643" max="5643" width="14.42578125" style="114" customWidth="1"/>
    <col min="5644" max="5644" width="14.85546875" style="114" bestFit="1" customWidth="1"/>
    <col min="5645" max="5888" width="11.42578125" style="114"/>
    <col min="5889" max="5889" width="36.28515625" style="114" customWidth="1"/>
    <col min="5890" max="5890" width="19.28515625" style="114" customWidth="1"/>
    <col min="5891" max="5891" width="16" style="114" customWidth="1"/>
    <col min="5892" max="5892" width="21" style="114" customWidth="1"/>
    <col min="5893" max="5893" width="20.5703125" style="114" customWidth="1"/>
    <col min="5894" max="5894" width="15" style="114" customWidth="1"/>
    <col min="5895" max="5895" width="11.5703125" style="114" bestFit="1" customWidth="1"/>
    <col min="5896" max="5896" width="16.5703125" style="114" bestFit="1" customWidth="1"/>
    <col min="5897" max="5898" width="13.85546875" style="114" bestFit="1" customWidth="1"/>
    <col min="5899" max="5899" width="14.42578125" style="114" customWidth="1"/>
    <col min="5900" max="5900" width="14.85546875" style="114" bestFit="1" customWidth="1"/>
    <col min="5901" max="6144" width="11.42578125" style="114"/>
    <col min="6145" max="6145" width="36.28515625" style="114" customWidth="1"/>
    <col min="6146" max="6146" width="19.28515625" style="114" customWidth="1"/>
    <col min="6147" max="6147" width="16" style="114" customWidth="1"/>
    <col min="6148" max="6148" width="21" style="114" customWidth="1"/>
    <col min="6149" max="6149" width="20.5703125" style="114" customWidth="1"/>
    <col min="6150" max="6150" width="15" style="114" customWidth="1"/>
    <col min="6151" max="6151" width="11.5703125" style="114" bestFit="1" customWidth="1"/>
    <col min="6152" max="6152" width="16.5703125" style="114" bestFit="1" customWidth="1"/>
    <col min="6153" max="6154" width="13.85546875" style="114" bestFit="1" customWidth="1"/>
    <col min="6155" max="6155" width="14.42578125" style="114" customWidth="1"/>
    <col min="6156" max="6156" width="14.85546875" style="114" bestFit="1" customWidth="1"/>
    <col min="6157" max="6400" width="11.42578125" style="114"/>
    <col min="6401" max="6401" width="36.28515625" style="114" customWidth="1"/>
    <col min="6402" max="6402" width="19.28515625" style="114" customWidth="1"/>
    <col min="6403" max="6403" width="16" style="114" customWidth="1"/>
    <col min="6404" max="6404" width="21" style="114" customWidth="1"/>
    <col min="6405" max="6405" width="20.5703125" style="114" customWidth="1"/>
    <col min="6406" max="6406" width="15" style="114" customWidth="1"/>
    <col min="6407" max="6407" width="11.5703125" style="114" bestFit="1" customWidth="1"/>
    <col min="6408" max="6408" width="16.5703125" style="114" bestFit="1" customWidth="1"/>
    <col min="6409" max="6410" width="13.85546875" style="114" bestFit="1" customWidth="1"/>
    <col min="6411" max="6411" width="14.42578125" style="114" customWidth="1"/>
    <col min="6412" max="6412" width="14.85546875" style="114" bestFit="1" customWidth="1"/>
    <col min="6413" max="6656" width="11.42578125" style="114"/>
    <col min="6657" max="6657" width="36.28515625" style="114" customWidth="1"/>
    <col min="6658" max="6658" width="19.28515625" style="114" customWidth="1"/>
    <col min="6659" max="6659" width="16" style="114" customWidth="1"/>
    <col min="6660" max="6660" width="21" style="114" customWidth="1"/>
    <col min="6661" max="6661" width="20.5703125" style="114" customWidth="1"/>
    <col min="6662" max="6662" width="15" style="114" customWidth="1"/>
    <col min="6663" max="6663" width="11.5703125" style="114" bestFit="1" customWidth="1"/>
    <col min="6664" max="6664" width="16.5703125" style="114" bestFit="1" customWidth="1"/>
    <col min="6665" max="6666" width="13.85546875" style="114" bestFit="1" customWidth="1"/>
    <col min="6667" max="6667" width="14.42578125" style="114" customWidth="1"/>
    <col min="6668" max="6668" width="14.85546875" style="114" bestFit="1" customWidth="1"/>
    <col min="6669" max="6912" width="11.42578125" style="114"/>
    <col min="6913" max="6913" width="36.28515625" style="114" customWidth="1"/>
    <col min="6914" max="6914" width="19.28515625" style="114" customWidth="1"/>
    <col min="6915" max="6915" width="16" style="114" customWidth="1"/>
    <col min="6916" max="6916" width="21" style="114" customWidth="1"/>
    <col min="6917" max="6917" width="20.5703125" style="114" customWidth="1"/>
    <col min="6918" max="6918" width="15" style="114" customWidth="1"/>
    <col min="6919" max="6919" width="11.5703125" style="114" bestFit="1" customWidth="1"/>
    <col min="6920" max="6920" width="16.5703125" style="114" bestFit="1" customWidth="1"/>
    <col min="6921" max="6922" width="13.85546875" style="114" bestFit="1" customWidth="1"/>
    <col min="6923" max="6923" width="14.42578125" style="114" customWidth="1"/>
    <col min="6924" max="6924" width="14.85546875" style="114" bestFit="1" customWidth="1"/>
    <col min="6925" max="7168" width="11.42578125" style="114"/>
    <col min="7169" max="7169" width="36.28515625" style="114" customWidth="1"/>
    <col min="7170" max="7170" width="19.28515625" style="114" customWidth="1"/>
    <col min="7171" max="7171" width="16" style="114" customWidth="1"/>
    <col min="7172" max="7172" width="21" style="114" customWidth="1"/>
    <col min="7173" max="7173" width="20.5703125" style="114" customWidth="1"/>
    <col min="7174" max="7174" width="15" style="114" customWidth="1"/>
    <col min="7175" max="7175" width="11.5703125" style="114" bestFit="1" customWidth="1"/>
    <col min="7176" max="7176" width="16.5703125" style="114" bestFit="1" customWidth="1"/>
    <col min="7177" max="7178" width="13.85546875" style="114" bestFit="1" customWidth="1"/>
    <col min="7179" max="7179" width="14.42578125" style="114" customWidth="1"/>
    <col min="7180" max="7180" width="14.85546875" style="114" bestFit="1" customWidth="1"/>
    <col min="7181" max="7424" width="11.42578125" style="114"/>
    <col min="7425" max="7425" width="36.28515625" style="114" customWidth="1"/>
    <col min="7426" max="7426" width="19.28515625" style="114" customWidth="1"/>
    <col min="7427" max="7427" width="16" style="114" customWidth="1"/>
    <col min="7428" max="7428" width="21" style="114" customWidth="1"/>
    <col min="7429" max="7429" width="20.5703125" style="114" customWidth="1"/>
    <col min="7430" max="7430" width="15" style="114" customWidth="1"/>
    <col min="7431" max="7431" width="11.5703125" style="114" bestFit="1" customWidth="1"/>
    <col min="7432" max="7432" width="16.5703125" style="114" bestFit="1" customWidth="1"/>
    <col min="7433" max="7434" width="13.85546875" style="114" bestFit="1" customWidth="1"/>
    <col min="7435" max="7435" width="14.42578125" style="114" customWidth="1"/>
    <col min="7436" max="7436" width="14.85546875" style="114" bestFit="1" customWidth="1"/>
    <col min="7437" max="7680" width="11.42578125" style="114"/>
    <col min="7681" max="7681" width="36.28515625" style="114" customWidth="1"/>
    <col min="7682" max="7682" width="19.28515625" style="114" customWidth="1"/>
    <col min="7683" max="7683" width="16" style="114" customWidth="1"/>
    <col min="7684" max="7684" width="21" style="114" customWidth="1"/>
    <col min="7685" max="7685" width="20.5703125" style="114" customWidth="1"/>
    <col min="7686" max="7686" width="15" style="114" customWidth="1"/>
    <col min="7687" max="7687" width="11.5703125" style="114" bestFit="1" customWidth="1"/>
    <col min="7688" max="7688" width="16.5703125" style="114" bestFit="1" customWidth="1"/>
    <col min="7689" max="7690" width="13.85546875" style="114" bestFit="1" customWidth="1"/>
    <col min="7691" max="7691" width="14.42578125" style="114" customWidth="1"/>
    <col min="7692" max="7692" width="14.85546875" style="114" bestFit="1" customWidth="1"/>
    <col min="7693" max="7936" width="11.42578125" style="114"/>
    <col min="7937" max="7937" width="36.28515625" style="114" customWidth="1"/>
    <col min="7938" max="7938" width="19.28515625" style="114" customWidth="1"/>
    <col min="7939" max="7939" width="16" style="114" customWidth="1"/>
    <col min="7940" max="7940" width="21" style="114" customWidth="1"/>
    <col min="7941" max="7941" width="20.5703125" style="114" customWidth="1"/>
    <col min="7942" max="7942" width="15" style="114" customWidth="1"/>
    <col min="7943" max="7943" width="11.5703125" style="114" bestFit="1" customWidth="1"/>
    <col min="7944" max="7944" width="16.5703125" style="114" bestFit="1" customWidth="1"/>
    <col min="7945" max="7946" width="13.85546875" style="114" bestFit="1" customWidth="1"/>
    <col min="7947" max="7947" width="14.42578125" style="114" customWidth="1"/>
    <col min="7948" max="7948" width="14.85546875" style="114" bestFit="1" customWidth="1"/>
    <col min="7949" max="8192" width="11.42578125" style="114"/>
    <col min="8193" max="8193" width="36.28515625" style="114" customWidth="1"/>
    <col min="8194" max="8194" width="19.28515625" style="114" customWidth="1"/>
    <col min="8195" max="8195" width="16" style="114" customWidth="1"/>
    <col min="8196" max="8196" width="21" style="114" customWidth="1"/>
    <col min="8197" max="8197" width="20.5703125" style="114" customWidth="1"/>
    <col min="8198" max="8198" width="15" style="114" customWidth="1"/>
    <col min="8199" max="8199" width="11.5703125" style="114" bestFit="1" customWidth="1"/>
    <col min="8200" max="8200" width="16.5703125" style="114" bestFit="1" customWidth="1"/>
    <col min="8201" max="8202" width="13.85546875" style="114" bestFit="1" customWidth="1"/>
    <col min="8203" max="8203" width="14.42578125" style="114" customWidth="1"/>
    <col min="8204" max="8204" width="14.85546875" style="114" bestFit="1" customWidth="1"/>
    <col min="8205" max="8448" width="11.42578125" style="114"/>
    <col min="8449" max="8449" width="36.28515625" style="114" customWidth="1"/>
    <col min="8450" max="8450" width="19.28515625" style="114" customWidth="1"/>
    <col min="8451" max="8451" width="16" style="114" customWidth="1"/>
    <col min="8452" max="8452" width="21" style="114" customWidth="1"/>
    <col min="8453" max="8453" width="20.5703125" style="114" customWidth="1"/>
    <col min="8454" max="8454" width="15" style="114" customWidth="1"/>
    <col min="8455" max="8455" width="11.5703125" style="114" bestFit="1" customWidth="1"/>
    <col min="8456" max="8456" width="16.5703125" style="114" bestFit="1" customWidth="1"/>
    <col min="8457" max="8458" width="13.85546875" style="114" bestFit="1" customWidth="1"/>
    <col min="8459" max="8459" width="14.42578125" style="114" customWidth="1"/>
    <col min="8460" max="8460" width="14.85546875" style="114" bestFit="1" customWidth="1"/>
    <col min="8461" max="8704" width="11.42578125" style="114"/>
    <col min="8705" max="8705" width="36.28515625" style="114" customWidth="1"/>
    <col min="8706" max="8706" width="19.28515625" style="114" customWidth="1"/>
    <col min="8707" max="8707" width="16" style="114" customWidth="1"/>
    <col min="8708" max="8708" width="21" style="114" customWidth="1"/>
    <col min="8709" max="8709" width="20.5703125" style="114" customWidth="1"/>
    <col min="8710" max="8710" width="15" style="114" customWidth="1"/>
    <col min="8711" max="8711" width="11.5703125" style="114" bestFit="1" customWidth="1"/>
    <col min="8712" max="8712" width="16.5703125" style="114" bestFit="1" customWidth="1"/>
    <col min="8713" max="8714" width="13.85546875" style="114" bestFit="1" customWidth="1"/>
    <col min="8715" max="8715" width="14.42578125" style="114" customWidth="1"/>
    <col min="8716" max="8716" width="14.85546875" style="114" bestFit="1" customWidth="1"/>
    <col min="8717" max="8960" width="11.42578125" style="114"/>
    <col min="8961" max="8961" width="36.28515625" style="114" customWidth="1"/>
    <col min="8962" max="8962" width="19.28515625" style="114" customWidth="1"/>
    <col min="8963" max="8963" width="16" style="114" customWidth="1"/>
    <col min="8964" max="8964" width="21" style="114" customWidth="1"/>
    <col min="8965" max="8965" width="20.5703125" style="114" customWidth="1"/>
    <col min="8966" max="8966" width="15" style="114" customWidth="1"/>
    <col min="8967" max="8967" width="11.5703125" style="114" bestFit="1" customWidth="1"/>
    <col min="8968" max="8968" width="16.5703125" style="114" bestFit="1" customWidth="1"/>
    <col min="8969" max="8970" width="13.85546875" style="114" bestFit="1" customWidth="1"/>
    <col min="8971" max="8971" width="14.42578125" style="114" customWidth="1"/>
    <col min="8972" max="8972" width="14.85546875" style="114" bestFit="1" customWidth="1"/>
    <col min="8973" max="9216" width="11.42578125" style="114"/>
    <col min="9217" max="9217" width="36.28515625" style="114" customWidth="1"/>
    <col min="9218" max="9218" width="19.28515625" style="114" customWidth="1"/>
    <col min="9219" max="9219" width="16" style="114" customWidth="1"/>
    <col min="9220" max="9220" width="21" style="114" customWidth="1"/>
    <col min="9221" max="9221" width="20.5703125" style="114" customWidth="1"/>
    <col min="9222" max="9222" width="15" style="114" customWidth="1"/>
    <col min="9223" max="9223" width="11.5703125" style="114" bestFit="1" customWidth="1"/>
    <col min="9224" max="9224" width="16.5703125" style="114" bestFit="1" customWidth="1"/>
    <col min="9225" max="9226" width="13.85546875" style="114" bestFit="1" customWidth="1"/>
    <col min="9227" max="9227" width="14.42578125" style="114" customWidth="1"/>
    <col min="9228" max="9228" width="14.85546875" style="114" bestFit="1" customWidth="1"/>
    <col min="9229" max="9472" width="11.42578125" style="114"/>
    <col min="9473" max="9473" width="36.28515625" style="114" customWidth="1"/>
    <col min="9474" max="9474" width="19.28515625" style="114" customWidth="1"/>
    <col min="9475" max="9475" width="16" style="114" customWidth="1"/>
    <col min="9476" max="9476" width="21" style="114" customWidth="1"/>
    <col min="9477" max="9477" width="20.5703125" style="114" customWidth="1"/>
    <col min="9478" max="9478" width="15" style="114" customWidth="1"/>
    <col min="9479" max="9479" width="11.5703125" style="114" bestFit="1" customWidth="1"/>
    <col min="9480" max="9480" width="16.5703125" style="114" bestFit="1" customWidth="1"/>
    <col min="9481" max="9482" width="13.85546875" style="114" bestFit="1" customWidth="1"/>
    <col min="9483" max="9483" width="14.42578125" style="114" customWidth="1"/>
    <col min="9484" max="9484" width="14.85546875" style="114" bestFit="1" customWidth="1"/>
    <col min="9485" max="9728" width="11.42578125" style="114"/>
    <col min="9729" max="9729" width="36.28515625" style="114" customWidth="1"/>
    <col min="9730" max="9730" width="19.28515625" style="114" customWidth="1"/>
    <col min="9731" max="9731" width="16" style="114" customWidth="1"/>
    <col min="9732" max="9732" width="21" style="114" customWidth="1"/>
    <col min="9733" max="9733" width="20.5703125" style="114" customWidth="1"/>
    <col min="9734" max="9734" width="15" style="114" customWidth="1"/>
    <col min="9735" max="9735" width="11.5703125" style="114" bestFit="1" customWidth="1"/>
    <col min="9736" max="9736" width="16.5703125" style="114" bestFit="1" customWidth="1"/>
    <col min="9737" max="9738" width="13.85546875" style="114" bestFit="1" customWidth="1"/>
    <col min="9739" max="9739" width="14.42578125" style="114" customWidth="1"/>
    <col min="9740" max="9740" width="14.85546875" style="114" bestFit="1" customWidth="1"/>
    <col min="9741" max="9984" width="11.42578125" style="114"/>
    <col min="9985" max="9985" width="36.28515625" style="114" customWidth="1"/>
    <col min="9986" max="9986" width="19.28515625" style="114" customWidth="1"/>
    <col min="9987" max="9987" width="16" style="114" customWidth="1"/>
    <col min="9988" max="9988" width="21" style="114" customWidth="1"/>
    <col min="9989" max="9989" width="20.5703125" style="114" customWidth="1"/>
    <col min="9990" max="9990" width="15" style="114" customWidth="1"/>
    <col min="9991" max="9991" width="11.5703125" style="114" bestFit="1" customWidth="1"/>
    <col min="9992" max="9992" width="16.5703125" style="114" bestFit="1" customWidth="1"/>
    <col min="9993" max="9994" width="13.85546875" style="114" bestFit="1" customWidth="1"/>
    <col min="9995" max="9995" width="14.42578125" style="114" customWidth="1"/>
    <col min="9996" max="9996" width="14.85546875" style="114" bestFit="1" customWidth="1"/>
    <col min="9997" max="10240" width="11.42578125" style="114"/>
    <col min="10241" max="10241" width="36.28515625" style="114" customWidth="1"/>
    <col min="10242" max="10242" width="19.28515625" style="114" customWidth="1"/>
    <col min="10243" max="10243" width="16" style="114" customWidth="1"/>
    <col min="10244" max="10244" width="21" style="114" customWidth="1"/>
    <col min="10245" max="10245" width="20.5703125" style="114" customWidth="1"/>
    <col min="10246" max="10246" width="15" style="114" customWidth="1"/>
    <col min="10247" max="10247" width="11.5703125" style="114" bestFit="1" customWidth="1"/>
    <col min="10248" max="10248" width="16.5703125" style="114" bestFit="1" customWidth="1"/>
    <col min="10249" max="10250" width="13.85546875" style="114" bestFit="1" customWidth="1"/>
    <col min="10251" max="10251" width="14.42578125" style="114" customWidth="1"/>
    <col min="10252" max="10252" width="14.85546875" style="114" bestFit="1" customWidth="1"/>
    <col min="10253" max="10496" width="11.42578125" style="114"/>
    <col min="10497" max="10497" width="36.28515625" style="114" customWidth="1"/>
    <col min="10498" max="10498" width="19.28515625" style="114" customWidth="1"/>
    <col min="10499" max="10499" width="16" style="114" customWidth="1"/>
    <col min="10500" max="10500" width="21" style="114" customWidth="1"/>
    <col min="10501" max="10501" width="20.5703125" style="114" customWidth="1"/>
    <col min="10502" max="10502" width="15" style="114" customWidth="1"/>
    <col min="10503" max="10503" width="11.5703125" style="114" bestFit="1" customWidth="1"/>
    <col min="10504" max="10504" width="16.5703125" style="114" bestFit="1" customWidth="1"/>
    <col min="10505" max="10506" width="13.85546875" style="114" bestFit="1" customWidth="1"/>
    <col min="10507" max="10507" width="14.42578125" style="114" customWidth="1"/>
    <col min="10508" max="10508" width="14.85546875" style="114" bestFit="1" customWidth="1"/>
    <col min="10509" max="10752" width="11.42578125" style="114"/>
    <col min="10753" max="10753" width="36.28515625" style="114" customWidth="1"/>
    <col min="10754" max="10754" width="19.28515625" style="114" customWidth="1"/>
    <col min="10755" max="10755" width="16" style="114" customWidth="1"/>
    <col min="10756" max="10756" width="21" style="114" customWidth="1"/>
    <col min="10757" max="10757" width="20.5703125" style="114" customWidth="1"/>
    <col min="10758" max="10758" width="15" style="114" customWidth="1"/>
    <col min="10759" max="10759" width="11.5703125" style="114" bestFit="1" customWidth="1"/>
    <col min="10760" max="10760" width="16.5703125" style="114" bestFit="1" customWidth="1"/>
    <col min="10761" max="10762" width="13.85546875" style="114" bestFit="1" customWidth="1"/>
    <col min="10763" max="10763" width="14.42578125" style="114" customWidth="1"/>
    <col min="10764" max="10764" width="14.85546875" style="114" bestFit="1" customWidth="1"/>
    <col min="10765" max="11008" width="11.42578125" style="114"/>
    <col min="11009" max="11009" width="36.28515625" style="114" customWidth="1"/>
    <col min="11010" max="11010" width="19.28515625" style="114" customWidth="1"/>
    <col min="11011" max="11011" width="16" style="114" customWidth="1"/>
    <col min="11012" max="11012" width="21" style="114" customWidth="1"/>
    <col min="11013" max="11013" width="20.5703125" style="114" customWidth="1"/>
    <col min="11014" max="11014" width="15" style="114" customWidth="1"/>
    <col min="11015" max="11015" width="11.5703125" style="114" bestFit="1" customWidth="1"/>
    <col min="11016" max="11016" width="16.5703125" style="114" bestFit="1" customWidth="1"/>
    <col min="11017" max="11018" width="13.85546875" style="114" bestFit="1" customWidth="1"/>
    <col min="11019" max="11019" width="14.42578125" style="114" customWidth="1"/>
    <col min="11020" max="11020" width="14.85546875" style="114" bestFit="1" customWidth="1"/>
    <col min="11021" max="11264" width="11.42578125" style="114"/>
    <col min="11265" max="11265" width="36.28515625" style="114" customWidth="1"/>
    <col min="11266" max="11266" width="19.28515625" style="114" customWidth="1"/>
    <col min="11267" max="11267" width="16" style="114" customWidth="1"/>
    <col min="11268" max="11268" width="21" style="114" customWidth="1"/>
    <col min="11269" max="11269" width="20.5703125" style="114" customWidth="1"/>
    <col min="11270" max="11270" width="15" style="114" customWidth="1"/>
    <col min="11271" max="11271" width="11.5703125" style="114" bestFit="1" customWidth="1"/>
    <col min="11272" max="11272" width="16.5703125" style="114" bestFit="1" customWidth="1"/>
    <col min="11273" max="11274" width="13.85546875" style="114" bestFit="1" customWidth="1"/>
    <col min="11275" max="11275" width="14.42578125" style="114" customWidth="1"/>
    <col min="11276" max="11276" width="14.85546875" style="114" bestFit="1" customWidth="1"/>
    <col min="11277" max="11520" width="11.42578125" style="114"/>
    <col min="11521" max="11521" width="36.28515625" style="114" customWidth="1"/>
    <col min="11522" max="11522" width="19.28515625" style="114" customWidth="1"/>
    <col min="11523" max="11523" width="16" style="114" customWidth="1"/>
    <col min="11524" max="11524" width="21" style="114" customWidth="1"/>
    <col min="11525" max="11525" width="20.5703125" style="114" customWidth="1"/>
    <col min="11526" max="11526" width="15" style="114" customWidth="1"/>
    <col min="11527" max="11527" width="11.5703125" style="114" bestFit="1" customWidth="1"/>
    <col min="11528" max="11528" width="16.5703125" style="114" bestFit="1" customWidth="1"/>
    <col min="11529" max="11530" width="13.85546875" style="114" bestFit="1" customWidth="1"/>
    <col min="11531" max="11531" width="14.42578125" style="114" customWidth="1"/>
    <col min="11532" max="11532" width="14.85546875" style="114" bestFit="1" customWidth="1"/>
    <col min="11533" max="11776" width="11.42578125" style="114"/>
    <col min="11777" max="11777" width="36.28515625" style="114" customWidth="1"/>
    <col min="11778" max="11778" width="19.28515625" style="114" customWidth="1"/>
    <col min="11779" max="11779" width="16" style="114" customWidth="1"/>
    <col min="11780" max="11780" width="21" style="114" customWidth="1"/>
    <col min="11781" max="11781" width="20.5703125" style="114" customWidth="1"/>
    <col min="11782" max="11782" width="15" style="114" customWidth="1"/>
    <col min="11783" max="11783" width="11.5703125" style="114" bestFit="1" customWidth="1"/>
    <col min="11784" max="11784" width="16.5703125" style="114" bestFit="1" customWidth="1"/>
    <col min="11785" max="11786" width="13.85546875" style="114" bestFit="1" customWidth="1"/>
    <col min="11787" max="11787" width="14.42578125" style="114" customWidth="1"/>
    <col min="11788" max="11788" width="14.85546875" style="114" bestFit="1" customWidth="1"/>
    <col min="11789" max="12032" width="11.42578125" style="114"/>
    <col min="12033" max="12033" width="36.28515625" style="114" customWidth="1"/>
    <col min="12034" max="12034" width="19.28515625" style="114" customWidth="1"/>
    <col min="12035" max="12035" width="16" style="114" customWidth="1"/>
    <col min="12036" max="12036" width="21" style="114" customWidth="1"/>
    <col min="12037" max="12037" width="20.5703125" style="114" customWidth="1"/>
    <col min="12038" max="12038" width="15" style="114" customWidth="1"/>
    <col min="12039" max="12039" width="11.5703125" style="114" bestFit="1" customWidth="1"/>
    <col min="12040" max="12040" width="16.5703125" style="114" bestFit="1" customWidth="1"/>
    <col min="12041" max="12042" width="13.85546875" style="114" bestFit="1" customWidth="1"/>
    <col min="12043" max="12043" width="14.42578125" style="114" customWidth="1"/>
    <col min="12044" max="12044" width="14.85546875" style="114" bestFit="1" customWidth="1"/>
    <col min="12045" max="12288" width="11.42578125" style="114"/>
    <col min="12289" max="12289" width="36.28515625" style="114" customWidth="1"/>
    <col min="12290" max="12290" width="19.28515625" style="114" customWidth="1"/>
    <col min="12291" max="12291" width="16" style="114" customWidth="1"/>
    <col min="12292" max="12292" width="21" style="114" customWidth="1"/>
    <col min="12293" max="12293" width="20.5703125" style="114" customWidth="1"/>
    <col min="12294" max="12294" width="15" style="114" customWidth="1"/>
    <col min="12295" max="12295" width="11.5703125" style="114" bestFit="1" customWidth="1"/>
    <col min="12296" max="12296" width="16.5703125" style="114" bestFit="1" customWidth="1"/>
    <col min="12297" max="12298" width="13.85546875" style="114" bestFit="1" customWidth="1"/>
    <col min="12299" max="12299" width="14.42578125" style="114" customWidth="1"/>
    <col min="12300" max="12300" width="14.85546875" style="114" bestFit="1" customWidth="1"/>
    <col min="12301" max="12544" width="11.42578125" style="114"/>
    <col min="12545" max="12545" width="36.28515625" style="114" customWidth="1"/>
    <col min="12546" max="12546" width="19.28515625" style="114" customWidth="1"/>
    <col min="12547" max="12547" width="16" style="114" customWidth="1"/>
    <col min="12548" max="12548" width="21" style="114" customWidth="1"/>
    <col min="12549" max="12549" width="20.5703125" style="114" customWidth="1"/>
    <col min="12550" max="12550" width="15" style="114" customWidth="1"/>
    <col min="12551" max="12551" width="11.5703125" style="114" bestFit="1" customWidth="1"/>
    <col min="12552" max="12552" width="16.5703125" style="114" bestFit="1" customWidth="1"/>
    <col min="12553" max="12554" width="13.85546875" style="114" bestFit="1" customWidth="1"/>
    <col min="12555" max="12555" width="14.42578125" style="114" customWidth="1"/>
    <col min="12556" max="12556" width="14.85546875" style="114" bestFit="1" customWidth="1"/>
    <col min="12557" max="12800" width="11.42578125" style="114"/>
    <col min="12801" max="12801" width="36.28515625" style="114" customWidth="1"/>
    <col min="12802" max="12802" width="19.28515625" style="114" customWidth="1"/>
    <col min="12803" max="12803" width="16" style="114" customWidth="1"/>
    <col min="12804" max="12804" width="21" style="114" customWidth="1"/>
    <col min="12805" max="12805" width="20.5703125" style="114" customWidth="1"/>
    <col min="12806" max="12806" width="15" style="114" customWidth="1"/>
    <col min="12807" max="12807" width="11.5703125" style="114" bestFit="1" customWidth="1"/>
    <col min="12808" max="12808" width="16.5703125" style="114" bestFit="1" customWidth="1"/>
    <col min="12809" max="12810" width="13.85546875" style="114" bestFit="1" customWidth="1"/>
    <col min="12811" max="12811" width="14.42578125" style="114" customWidth="1"/>
    <col min="12812" max="12812" width="14.85546875" style="114" bestFit="1" customWidth="1"/>
    <col min="12813" max="13056" width="11.42578125" style="114"/>
    <col min="13057" max="13057" width="36.28515625" style="114" customWidth="1"/>
    <col min="13058" max="13058" width="19.28515625" style="114" customWidth="1"/>
    <col min="13059" max="13059" width="16" style="114" customWidth="1"/>
    <col min="13060" max="13060" width="21" style="114" customWidth="1"/>
    <col min="13061" max="13061" width="20.5703125" style="114" customWidth="1"/>
    <col min="13062" max="13062" width="15" style="114" customWidth="1"/>
    <col min="13063" max="13063" width="11.5703125" style="114" bestFit="1" customWidth="1"/>
    <col min="13064" max="13064" width="16.5703125" style="114" bestFit="1" customWidth="1"/>
    <col min="13065" max="13066" width="13.85546875" style="114" bestFit="1" customWidth="1"/>
    <col min="13067" max="13067" width="14.42578125" style="114" customWidth="1"/>
    <col min="13068" max="13068" width="14.85546875" style="114" bestFit="1" customWidth="1"/>
    <col min="13069" max="13312" width="11.42578125" style="114"/>
    <col min="13313" max="13313" width="36.28515625" style="114" customWidth="1"/>
    <col min="13314" max="13314" width="19.28515625" style="114" customWidth="1"/>
    <col min="13315" max="13315" width="16" style="114" customWidth="1"/>
    <col min="13316" max="13316" width="21" style="114" customWidth="1"/>
    <col min="13317" max="13317" width="20.5703125" style="114" customWidth="1"/>
    <col min="13318" max="13318" width="15" style="114" customWidth="1"/>
    <col min="13319" max="13319" width="11.5703125" style="114" bestFit="1" customWidth="1"/>
    <col min="13320" max="13320" width="16.5703125" style="114" bestFit="1" customWidth="1"/>
    <col min="13321" max="13322" width="13.85546875" style="114" bestFit="1" customWidth="1"/>
    <col min="13323" max="13323" width="14.42578125" style="114" customWidth="1"/>
    <col min="13324" max="13324" width="14.85546875" style="114" bestFit="1" customWidth="1"/>
    <col min="13325" max="13568" width="11.42578125" style="114"/>
    <col min="13569" max="13569" width="36.28515625" style="114" customWidth="1"/>
    <col min="13570" max="13570" width="19.28515625" style="114" customWidth="1"/>
    <col min="13571" max="13571" width="16" style="114" customWidth="1"/>
    <col min="13572" max="13572" width="21" style="114" customWidth="1"/>
    <col min="13573" max="13573" width="20.5703125" style="114" customWidth="1"/>
    <col min="13574" max="13574" width="15" style="114" customWidth="1"/>
    <col min="13575" max="13575" width="11.5703125" style="114" bestFit="1" customWidth="1"/>
    <col min="13576" max="13576" width="16.5703125" style="114" bestFit="1" customWidth="1"/>
    <col min="13577" max="13578" width="13.85546875" style="114" bestFit="1" customWidth="1"/>
    <col min="13579" max="13579" width="14.42578125" style="114" customWidth="1"/>
    <col min="13580" max="13580" width="14.85546875" style="114" bestFit="1" customWidth="1"/>
    <col min="13581" max="13824" width="11.42578125" style="114"/>
    <col min="13825" max="13825" width="36.28515625" style="114" customWidth="1"/>
    <col min="13826" max="13826" width="19.28515625" style="114" customWidth="1"/>
    <col min="13827" max="13827" width="16" style="114" customWidth="1"/>
    <col min="13828" max="13828" width="21" style="114" customWidth="1"/>
    <col min="13829" max="13829" width="20.5703125" style="114" customWidth="1"/>
    <col min="13830" max="13830" width="15" style="114" customWidth="1"/>
    <col min="13831" max="13831" width="11.5703125" style="114" bestFit="1" customWidth="1"/>
    <col min="13832" max="13832" width="16.5703125" style="114" bestFit="1" customWidth="1"/>
    <col min="13833" max="13834" width="13.85546875" style="114" bestFit="1" customWidth="1"/>
    <col min="13835" max="13835" width="14.42578125" style="114" customWidth="1"/>
    <col min="13836" max="13836" width="14.85546875" style="114" bestFit="1" customWidth="1"/>
    <col min="13837" max="14080" width="11.42578125" style="114"/>
    <col min="14081" max="14081" width="36.28515625" style="114" customWidth="1"/>
    <col min="14082" max="14082" width="19.28515625" style="114" customWidth="1"/>
    <col min="14083" max="14083" width="16" style="114" customWidth="1"/>
    <col min="14084" max="14084" width="21" style="114" customWidth="1"/>
    <col min="14085" max="14085" width="20.5703125" style="114" customWidth="1"/>
    <col min="14086" max="14086" width="15" style="114" customWidth="1"/>
    <col min="14087" max="14087" width="11.5703125" style="114" bestFit="1" customWidth="1"/>
    <col min="14088" max="14088" width="16.5703125" style="114" bestFit="1" customWidth="1"/>
    <col min="14089" max="14090" width="13.85546875" style="114" bestFit="1" customWidth="1"/>
    <col min="14091" max="14091" width="14.42578125" style="114" customWidth="1"/>
    <col min="14092" max="14092" width="14.85546875" style="114" bestFit="1" customWidth="1"/>
    <col min="14093" max="14336" width="11.42578125" style="114"/>
    <col min="14337" max="14337" width="36.28515625" style="114" customWidth="1"/>
    <col min="14338" max="14338" width="19.28515625" style="114" customWidth="1"/>
    <col min="14339" max="14339" width="16" style="114" customWidth="1"/>
    <col min="14340" max="14340" width="21" style="114" customWidth="1"/>
    <col min="14341" max="14341" width="20.5703125" style="114" customWidth="1"/>
    <col min="14342" max="14342" width="15" style="114" customWidth="1"/>
    <col min="14343" max="14343" width="11.5703125" style="114" bestFit="1" customWidth="1"/>
    <col min="14344" max="14344" width="16.5703125" style="114" bestFit="1" customWidth="1"/>
    <col min="14345" max="14346" width="13.85546875" style="114" bestFit="1" customWidth="1"/>
    <col min="14347" max="14347" width="14.42578125" style="114" customWidth="1"/>
    <col min="14348" max="14348" width="14.85546875" style="114" bestFit="1" customWidth="1"/>
    <col min="14349" max="14592" width="11.42578125" style="114"/>
    <col min="14593" max="14593" width="36.28515625" style="114" customWidth="1"/>
    <col min="14594" max="14594" width="19.28515625" style="114" customWidth="1"/>
    <col min="14595" max="14595" width="16" style="114" customWidth="1"/>
    <col min="14596" max="14596" width="21" style="114" customWidth="1"/>
    <col min="14597" max="14597" width="20.5703125" style="114" customWidth="1"/>
    <col min="14598" max="14598" width="15" style="114" customWidth="1"/>
    <col min="14599" max="14599" width="11.5703125" style="114" bestFit="1" customWidth="1"/>
    <col min="14600" max="14600" width="16.5703125" style="114" bestFit="1" customWidth="1"/>
    <col min="14601" max="14602" width="13.85546875" style="114" bestFit="1" customWidth="1"/>
    <col min="14603" max="14603" width="14.42578125" style="114" customWidth="1"/>
    <col min="14604" max="14604" width="14.85546875" style="114" bestFit="1" customWidth="1"/>
    <col min="14605" max="14848" width="11.42578125" style="114"/>
    <col min="14849" max="14849" width="36.28515625" style="114" customWidth="1"/>
    <col min="14850" max="14850" width="19.28515625" style="114" customWidth="1"/>
    <col min="14851" max="14851" width="16" style="114" customWidth="1"/>
    <col min="14852" max="14852" width="21" style="114" customWidth="1"/>
    <col min="14853" max="14853" width="20.5703125" style="114" customWidth="1"/>
    <col min="14854" max="14854" width="15" style="114" customWidth="1"/>
    <col min="14855" max="14855" width="11.5703125" style="114" bestFit="1" customWidth="1"/>
    <col min="14856" max="14856" width="16.5703125" style="114" bestFit="1" customWidth="1"/>
    <col min="14857" max="14858" width="13.85546875" style="114" bestFit="1" customWidth="1"/>
    <col min="14859" max="14859" width="14.42578125" style="114" customWidth="1"/>
    <col min="14860" max="14860" width="14.85546875" style="114" bestFit="1" customWidth="1"/>
    <col min="14861" max="15104" width="11.42578125" style="114"/>
    <col min="15105" max="15105" width="36.28515625" style="114" customWidth="1"/>
    <col min="15106" max="15106" width="19.28515625" style="114" customWidth="1"/>
    <col min="15107" max="15107" width="16" style="114" customWidth="1"/>
    <col min="15108" max="15108" width="21" style="114" customWidth="1"/>
    <col min="15109" max="15109" width="20.5703125" style="114" customWidth="1"/>
    <col min="15110" max="15110" width="15" style="114" customWidth="1"/>
    <col min="15111" max="15111" width="11.5703125" style="114" bestFit="1" customWidth="1"/>
    <col min="15112" max="15112" width="16.5703125" style="114" bestFit="1" customWidth="1"/>
    <col min="15113" max="15114" width="13.85546875" style="114" bestFit="1" customWidth="1"/>
    <col min="15115" max="15115" width="14.42578125" style="114" customWidth="1"/>
    <col min="15116" max="15116" width="14.85546875" style="114" bestFit="1" customWidth="1"/>
    <col min="15117" max="15360" width="11.42578125" style="114"/>
    <col min="15361" max="15361" width="36.28515625" style="114" customWidth="1"/>
    <col min="15362" max="15362" width="19.28515625" style="114" customWidth="1"/>
    <col min="15363" max="15363" width="16" style="114" customWidth="1"/>
    <col min="15364" max="15364" width="21" style="114" customWidth="1"/>
    <col min="15365" max="15365" width="20.5703125" style="114" customWidth="1"/>
    <col min="15366" max="15366" width="15" style="114" customWidth="1"/>
    <col min="15367" max="15367" width="11.5703125" style="114" bestFit="1" customWidth="1"/>
    <col min="15368" max="15368" width="16.5703125" style="114" bestFit="1" customWidth="1"/>
    <col min="15369" max="15370" width="13.85546875" style="114" bestFit="1" customWidth="1"/>
    <col min="15371" max="15371" width="14.42578125" style="114" customWidth="1"/>
    <col min="15372" max="15372" width="14.85546875" style="114" bestFit="1" customWidth="1"/>
    <col min="15373" max="15616" width="11.42578125" style="114"/>
    <col min="15617" max="15617" width="36.28515625" style="114" customWidth="1"/>
    <col min="15618" max="15618" width="19.28515625" style="114" customWidth="1"/>
    <col min="15619" max="15619" width="16" style="114" customWidth="1"/>
    <col min="15620" max="15620" width="21" style="114" customWidth="1"/>
    <col min="15621" max="15621" width="20.5703125" style="114" customWidth="1"/>
    <col min="15622" max="15622" width="15" style="114" customWidth="1"/>
    <col min="15623" max="15623" width="11.5703125" style="114" bestFit="1" customWidth="1"/>
    <col min="15624" max="15624" width="16.5703125" style="114" bestFit="1" customWidth="1"/>
    <col min="15625" max="15626" width="13.85546875" style="114" bestFit="1" customWidth="1"/>
    <col min="15627" max="15627" width="14.42578125" style="114" customWidth="1"/>
    <col min="15628" max="15628" width="14.85546875" style="114" bestFit="1" customWidth="1"/>
    <col min="15629" max="15872" width="11.42578125" style="114"/>
    <col min="15873" max="15873" width="36.28515625" style="114" customWidth="1"/>
    <col min="15874" max="15874" width="19.28515625" style="114" customWidth="1"/>
    <col min="15875" max="15875" width="16" style="114" customWidth="1"/>
    <col min="15876" max="15876" width="21" style="114" customWidth="1"/>
    <col min="15877" max="15877" width="20.5703125" style="114" customWidth="1"/>
    <col min="15878" max="15878" width="15" style="114" customWidth="1"/>
    <col min="15879" max="15879" width="11.5703125" style="114" bestFit="1" customWidth="1"/>
    <col min="15880" max="15880" width="16.5703125" style="114" bestFit="1" customWidth="1"/>
    <col min="15881" max="15882" width="13.85546875" style="114" bestFit="1" customWidth="1"/>
    <col min="15883" max="15883" width="14.42578125" style="114" customWidth="1"/>
    <col min="15884" max="15884" width="14.85546875" style="114" bestFit="1" customWidth="1"/>
    <col min="15885" max="16128" width="11.42578125" style="114"/>
    <col min="16129" max="16129" width="36.28515625" style="114" customWidth="1"/>
    <col min="16130" max="16130" width="19.28515625" style="114" customWidth="1"/>
    <col min="16131" max="16131" width="16" style="114" customWidth="1"/>
    <col min="16132" max="16132" width="21" style="114" customWidth="1"/>
    <col min="16133" max="16133" width="20.5703125" style="114" customWidth="1"/>
    <col min="16134" max="16134" width="15" style="114" customWidth="1"/>
    <col min="16135" max="16135" width="11.5703125" style="114" bestFit="1" customWidth="1"/>
    <col min="16136" max="16136" width="16.5703125" style="114" bestFit="1" customWidth="1"/>
    <col min="16137" max="16138" width="13.85546875" style="114" bestFit="1" customWidth="1"/>
    <col min="16139" max="16139" width="14.42578125" style="114" customWidth="1"/>
    <col min="16140" max="16140" width="14.85546875" style="114" bestFit="1" customWidth="1"/>
    <col min="16141" max="16384" width="11.42578125" style="114"/>
  </cols>
  <sheetData>
    <row r="1" spans="1:13">
      <c r="A1" s="335"/>
      <c r="B1" s="336" t="s">
        <v>356</v>
      </c>
      <c r="C1" s="337"/>
      <c r="D1" s="337"/>
      <c r="E1" s="337"/>
      <c r="F1" s="337"/>
      <c r="G1" s="337"/>
      <c r="H1" s="337"/>
      <c r="I1" s="337"/>
      <c r="J1" s="338"/>
      <c r="K1" s="329" t="s">
        <v>357</v>
      </c>
      <c r="L1" s="330"/>
    </row>
    <row r="2" spans="1:13">
      <c r="A2" s="335"/>
      <c r="B2" s="339"/>
      <c r="C2" s="340"/>
      <c r="D2" s="340"/>
      <c r="E2" s="340"/>
      <c r="F2" s="340"/>
      <c r="G2" s="340"/>
      <c r="H2" s="340"/>
      <c r="I2" s="340"/>
      <c r="J2" s="341"/>
      <c r="K2" s="331" t="s">
        <v>358</v>
      </c>
      <c r="L2" s="332"/>
    </row>
    <row r="3" spans="1:13" ht="13.5" thickBot="1">
      <c r="A3" s="335"/>
      <c r="B3" s="342"/>
      <c r="C3" s="343"/>
      <c r="D3" s="343"/>
      <c r="E3" s="343"/>
      <c r="F3" s="343"/>
      <c r="G3" s="343"/>
      <c r="H3" s="343"/>
      <c r="I3" s="343"/>
      <c r="J3" s="344"/>
      <c r="K3" s="333" t="s">
        <v>359</v>
      </c>
      <c r="L3" s="334"/>
    </row>
    <row r="4" spans="1:13" s="121" customFormat="1">
      <c r="A4" s="350" t="s">
        <v>160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</row>
    <row r="5" spans="1:13" ht="15" customHeight="1">
      <c r="A5" s="283" t="s">
        <v>44</v>
      </c>
      <c r="B5" s="283" t="s">
        <v>2</v>
      </c>
      <c r="C5" s="284" t="s">
        <v>3</v>
      </c>
      <c r="D5" s="284" t="s">
        <v>4</v>
      </c>
      <c r="E5" s="284" t="s">
        <v>5</v>
      </c>
      <c r="F5" s="284" t="s">
        <v>6</v>
      </c>
      <c r="G5" s="284"/>
      <c r="H5" s="284"/>
      <c r="I5" s="284"/>
      <c r="J5" s="284"/>
      <c r="K5" s="284"/>
      <c r="L5" s="284"/>
    </row>
    <row r="6" spans="1:13" ht="38.25">
      <c r="A6" s="283"/>
      <c r="B6" s="283"/>
      <c r="C6" s="284"/>
      <c r="D6" s="284"/>
      <c r="E6" s="284"/>
      <c r="F6" s="115" t="s">
        <v>7</v>
      </c>
      <c r="G6" s="115" t="s">
        <v>8</v>
      </c>
      <c r="H6" s="115" t="s">
        <v>9</v>
      </c>
      <c r="I6" s="115" t="s">
        <v>10</v>
      </c>
      <c r="J6" s="115" t="s">
        <v>11</v>
      </c>
      <c r="K6" s="115" t="s">
        <v>12</v>
      </c>
      <c r="L6" s="115" t="s">
        <v>13</v>
      </c>
    </row>
    <row r="7" spans="1:13" ht="38.25">
      <c r="A7" s="116" t="s">
        <v>161</v>
      </c>
      <c r="B7" s="117" t="s">
        <v>162</v>
      </c>
      <c r="C7" s="117">
        <v>1</v>
      </c>
      <c r="D7" s="118">
        <v>1171564951.1733</v>
      </c>
      <c r="E7" s="118">
        <f>+D7</f>
        <v>1171564951.1733</v>
      </c>
      <c r="F7" s="119"/>
      <c r="G7" s="120"/>
      <c r="H7" s="120">
        <f>+E7</f>
        <v>1171564951.1733</v>
      </c>
      <c r="I7" s="120"/>
      <c r="J7" s="120"/>
      <c r="K7" s="120"/>
      <c r="L7" s="120"/>
      <c r="M7" s="121"/>
    </row>
    <row r="8" spans="1:13" ht="25.5">
      <c r="A8" s="122" t="s">
        <v>163</v>
      </c>
      <c r="B8" s="117" t="s">
        <v>164</v>
      </c>
      <c r="C8" s="117">
        <v>1</v>
      </c>
      <c r="D8" s="123">
        <v>130173883.46370001</v>
      </c>
      <c r="E8" s="123">
        <f>+D8</f>
        <v>130173883.46370001</v>
      </c>
      <c r="F8" s="119"/>
      <c r="G8" s="120"/>
      <c r="H8" s="120">
        <f>+E8</f>
        <v>130173883.46370001</v>
      </c>
      <c r="I8" s="120"/>
      <c r="J8" s="120"/>
      <c r="K8" s="120"/>
      <c r="L8" s="120"/>
    </row>
    <row r="9" spans="1:13">
      <c r="A9" s="279" t="s">
        <v>37</v>
      </c>
      <c r="B9" s="279"/>
      <c r="C9" s="279"/>
      <c r="D9" s="279"/>
      <c r="E9" s="124">
        <f>SUM(E7:E8)</f>
        <v>1301738834.6370001</v>
      </c>
      <c r="F9" s="124">
        <f t="shared" ref="F9:L9" si="0">SUM(F7:F8)</f>
        <v>0</v>
      </c>
      <c r="G9" s="124">
        <f t="shared" si="0"/>
        <v>0</v>
      </c>
      <c r="H9" s="124">
        <f t="shared" si="0"/>
        <v>1301738834.6370001</v>
      </c>
      <c r="I9" s="124">
        <f t="shared" si="0"/>
        <v>0</v>
      </c>
      <c r="J9" s="124">
        <f t="shared" si="0"/>
        <v>0</v>
      </c>
      <c r="K9" s="124">
        <f t="shared" si="0"/>
        <v>0</v>
      </c>
      <c r="L9" s="124">
        <f t="shared" si="0"/>
        <v>0</v>
      </c>
    </row>
    <row r="10" spans="1:13">
      <c r="A10" s="280" t="s">
        <v>38</v>
      </c>
      <c r="B10" s="280"/>
      <c r="C10" s="280"/>
      <c r="D10" s="280"/>
      <c r="E10" s="124">
        <f>+'FUENTES Y USOS'!S6</f>
        <v>1301738834.6370001</v>
      </c>
      <c r="F10" s="124">
        <f>+'FUENTES Y USOS'!M6</f>
        <v>0</v>
      </c>
      <c r="G10" s="124">
        <f>+'FUENTES Y USOS'!N6</f>
        <v>0</v>
      </c>
      <c r="H10" s="124">
        <f>+'FUENTES Y USOS'!O6</f>
        <v>1301738834.6370001</v>
      </c>
      <c r="I10" s="124">
        <f>+'FUENTES Y USOS'!P6</f>
        <v>0</v>
      </c>
      <c r="J10" s="124">
        <f>+'FUENTES Y USOS'!Q6</f>
        <v>0</v>
      </c>
      <c r="K10" s="124">
        <f>+'FUENTES Y USOS'!R6</f>
        <v>0</v>
      </c>
      <c r="L10" s="124"/>
    </row>
    <row r="11" spans="1:13">
      <c r="A11" s="279" t="s">
        <v>39</v>
      </c>
      <c r="B11" s="279"/>
      <c r="C11" s="279"/>
      <c r="D11" s="279"/>
      <c r="E11" s="125">
        <f>+E10-E9</f>
        <v>0</v>
      </c>
      <c r="F11" s="125">
        <f t="shared" ref="F11:L11" si="1">+F10-F9</f>
        <v>0</v>
      </c>
      <c r="G11" s="125">
        <f t="shared" si="1"/>
        <v>0</v>
      </c>
      <c r="H11" s="125">
        <f t="shared" si="1"/>
        <v>0</v>
      </c>
      <c r="I11" s="125">
        <f t="shared" si="1"/>
        <v>0</v>
      </c>
      <c r="J11" s="125">
        <f t="shared" si="1"/>
        <v>0</v>
      </c>
      <c r="K11" s="125">
        <f t="shared" si="1"/>
        <v>0</v>
      </c>
      <c r="L11" s="125">
        <f t="shared" si="1"/>
        <v>0</v>
      </c>
    </row>
    <row r="12" spans="1:13">
      <c r="J12" s="126"/>
    </row>
    <row r="13" spans="1:13">
      <c r="I13" s="127"/>
    </row>
    <row r="14" spans="1:13">
      <c r="A14" s="28"/>
      <c r="B14" s="1" t="s">
        <v>40</v>
      </c>
      <c r="C14" s="1"/>
      <c r="D14" s="1"/>
      <c r="E14" s="314"/>
      <c r="F14" s="315"/>
      <c r="G14" s="121"/>
      <c r="I14" s="126"/>
    </row>
    <row r="15" spans="1:13">
      <c r="A15" s="29"/>
      <c r="B15" s="1" t="s">
        <v>42</v>
      </c>
      <c r="C15" s="1"/>
      <c r="D15" s="1"/>
      <c r="E15" s="121"/>
      <c r="F15" s="121"/>
      <c r="G15" s="121"/>
    </row>
    <row r="17" spans="1:6" ht="15" hidden="1" customHeight="1" thickBot="1">
      <c r="A17" s="287" t="s">
        <v>165</v>
      </c>
      <c r="B17" s="288"/>
      <c r="C17" s="288"/>
      <c r="D17" s="288"/>
      <c r="E17" s="289"/>
    </row>
    <row r="18" spans="1:6" ht="39" hidden="1" thickBot="1">
      <c r="A18" s="128" t="s">
        <v>34</v>
      </c>
      <c r="B18" s="129" t="s">
        <v>166</v>
      </c>
      <c r="C18" s="129" t="s">
        <v>167</v>
      </c>
      <c r="D18" s="130" t="s">
        <v>168</v>
      </c>
      <c r="E18" s="131" t="s">
        <v>169</v>
      </c>
    </row>
    <row r="19" spans="1:6" hidden="1">
      <c r="A19" s="290" t="s">
        <v>170</v>
      </c>
      <c r="B19" s="132" t="s">
        <v>171</v>
      </c>
      <c r="C19" s="133">
        <v>2045111512</v>
      </c>
      <c r="D19" s="291">
        <v>5000000000</v>
      </c>
      <c r="E19" s="134"/>
      <c r="F19" s="114" t="s">
        <v>172</v>
      </c>
    </row>
    <row r="20" spans="1:6" hidden="1">
      <c r="A20" s="285"/>
      <c r="B20" s="135" t="s">
        <v>173</v>
      </c>
      <c r="C20" s="136">
        <v>12097718325</v>
      </c>
      <c r="D20" s="286"/>
      <c r="E20" s="137"/>
    </row>
    <row r="21" spans="1:6" hidden="1">
      <c r="A21" s="285" t="s">
        <v>174</v>
      </c>
      <c r="B21" s="135" t="s">
        <v>175</v>
      </c>
      <c r="C21" s="136"/>
      <c r="D21" s="286">
        <v>400000000</v>
      </c>
      <c r="E21" s="138"/>
    </row>
    <row r="22" spans="1:6" hidden="1">
      <c r="A22" s="285"/>
      <c r="B22" s="135" t="s">
        <v>173</v>
      </c>
      <c r="C22" s="136"/>
      <c r="D22" s="286"/>
      <c r="E22" s="138"/>
    </row>
    <row r="23" spans="1:6" hidden="1">
      <c r="A23" s="139" t="s">
        <v>176</v>
      </c>
      <c r="B23" s="135" t="s">
        <v>173</v>
      </c>
      <c r="C23" s="136"/>
      <c r="D23" s="136">
        <v>400000000</v>
      </c>
      <c r="E23" s="138"/>
      <c r="F23" s="114" t="s">
        <v>177</v>
      </c>
    </row>
    <row r="24" spans="1:6" hidden="1">
      <c r="A24" s="139" t="s">
        <v>178</v>
      </c>
      <c r="B24" s="135" t="s">
        <v>175</v>
      </c>
      <c r="C24" s="136"/>
      <c r="D24" s="136">
        <v>200000000</v>
      </c>
      <c r="E24" s="138"/>
    </row>
    <row r="25" spans="1:6" hidden="1">
      <c r="A25" s="139" t="s">
        <v>179</v>
      </c>
      <c r="B25" s="135" t="s">
        <v>175</v>
      </c>
      <c r="C25" s="136"/>
      <c r="D25" s="136">
        <v>300000000</v>
      </c>
      <c r="E25" s="138"/>
    </row>
    <row r="26" spans="1:6" hidden="1">
      <c r="A26" s="139" t="s">
        <v>180</v>
      </c>
      <c r="B26" s="135" t="s">
        <v>173</v>
      </c>
      <c r="C26" s="136"/>
      <c r="D26" s="136">
        <v>10000000000</v>
      </c>
      <c r="E26" s="138"/>
    </row>
    <row r="27" spans="1:6" ht="13.5" hidden="1" thickBot="1">
      <c r="A27" s="140" t="s">
        <v>181</v>
      </c>
      <c r="B27" s="141" t="s">
        <v>182</v>
      </c>
      <c r="C27" s="142"/>
      <c r="D27" s="142">
        <v>866446535</v>
      </c>
      <c r="E27" s="143"/>
    </row>
    <row r="28" spans="1:6" hidden="1"/>
    <row r="29" spans="1:6" ht="13.5" hidden="1" thickBot="1"/>
    <row r="30" spans="1:6" ht="13.5" hidden="1" thickBot="1">
      <c r="A30" s="144" t="s">
        <v>183</v>
      </c>
      <c r="B30" s="145">
        <v>8653614951.3199997</v>
      </c>
    </row>
    <row r="31" spans="1:6" hidden="1"/>
    <row r="32" spans="1:6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</sheetData>
  <mergeCells count="19">
    <mergeCell ref="B1:J3"/>
    <mergeCell ref="K1:L1"/>
    <mergeCell ref="K2:L2"/>
    <mergeCell ref="K3:L3"/>
    <mergeCell ref="A21:A22"/>
    <mergeCell ref="D21:D22"/>
    <mergeCell ref="A9:D9"/>
    <mergeCell ref="A10:D10"/>
    <mergeCell ref="A11:D11"/>
    <mergeCell ref="A17:E17"/>
    <mergeCell ref="A19:A20"/>
    <mergeCell ref="D19:D20"/>
    <mergeCell ref="A4:L4"/>
    <mergeCell ref="A5:A6"/>
    <mergeCell ref="B5:B6"/>
    <mergeCell ref="C5:C6"/>
    <mergeCell ref="D5:D6"/>
    <mergeCell ref="E5:E6"/>
    <mergeCell ref="F5:L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Normal="100" workbookViewId="0">
      <pane xSplit="1" ySplit="6" topLeftCell="D7" activePane="bottomRight" state="frozen"/>
      <selection pane="topRight" activeCell="B1" sqref="B1"/>
      <selection pane="bottomLeft" activeCell="A4" sqref="A4"/>
      <selection pane="bottomRight" sqref="A1:L3"/>
    </sheetView>
  </sheetViews>
  <sheetFormatPr baseColWidth="10" defaultRowHeight="12.75"/>
  <cols>
    <col min="1" max="1" width="51.28515625" style="61" customWidth="1"/>
    <col min="2" max="2" width="14.28515625" style="76" customWidth="1"/>
    <col min="3" max="3" width="15.28515625" style="76" customWidth="1"/>
    <col min="4" max="4" width="13.5703125" style="76" customWidth="1"/>
    <col min="5" max="5" width="12.7109375" style="76" bestFit="1" customWidth="1"/>
    <col min="6" max="6" width="11.42578125" style="76"/>
    <col min="7" max="7" width="14.42578125" style="61" customWidth="1"/>
    <col min="8" max="8" width="15" style="61" customWidth="1"/>
    <col min="9" max="10" width="11.42578125" style="61"/>
    <col min="11" max="11" width="13.28515625" style="61" customWidth="1"/>
    <col min="12" max="16384" width="11.42578125" style="61"/>
  </cols>
  <sheetData>
    <row r="1" spans="1:12">
      <c r="A1" s="335"/>
      <c r="B1" s="336" t="s">
        <v>356</v>
      </c>
      <c r="C1" s="337"/>
      <c r="D1" s="337"/>
      <c r="E1" s="337"/>
      <c r="F1" s="337"/>
      <c r="G1" s="337"/>
      <c r="H1" s="337"/>
      <c r="I1" s="337"/>
      <c r="J1" s="338"/>
      <c r="K1" s="329" t="s">
        <v>357</v>
      </c>
      <c r="L1" s="330"/>
    </row>
    <row r="2" spans="1:12">
      <c r="A2" s="335"/>
      <c r="B2" s="339"/>
      <c r="C2" s="340"/>
      <c r="D2" s="340"/>
      <c r="E2" s="340"/>
      <c r="F2" s="340"/>
      <c r="G2" s="340"/>
      <c r="H2" s="340"/>
      <c r="I2" s="340"/>
      <c r="J2" s="341"/>
      <c r="K2" s="331" t="s">
        <v>358</v>
      </c>
      <c r="L2" s="332"/>
    </row>
    <row r="3" spans="1:12" ht="13.5" thickBot="1">
      <c r="A3" s="335"/>
      <c r="B3" s="342"/>
      <c r="C3" s="343"/>
      <c r="D3" s="343"/>
      <c r="E3" s="343"/>
      <c r="F3" s="343"/>
      <c r="G3" s="343"/>
      <c r="H3" s="343"/>
      <c r="I3" s="343"/>
      <c r="J3" s="344"/>
      <c r="K3" s="333" t="s">
        <v>359</v>
      </c>
      <c r="L3" s="334"/>
    </row>
    <row r="4" spans="1:12" s="318" customFormat="1" ht="21" customHeight="1">
      <c r="A4" s="351" t="s">
        <v>73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</row>
    <row r="5" spans="1:12" ht="15" customHeight="1">
      <c r="A5" s="281" t="s">
        <v>44</v>
      </c>
      <c r="B5" s="281" t="s">
        <v>2</v>
      </c>
      <c r="C5" s="282" t="s">
        <v>3</v>
      </c>
      <c r="D5" s="282" t="s">
        <v>4</v>
      </c>
      <c r="E5" s="282" t="s">
        <v>5</v>
      </c>
      <c r="F5" s="294" t="s">
        <v>6</v>
      </c>
      <c r="G5" s="295"/>
      <c r="H5" s="295"/>
      <c r="I5" s="295"/>
      <c r="J5" s="295"/>
      <c r="K5" s="295"/>
      <c r="L5" s="296"/>
    </row>
    <row r="6" spans="1:12" ht="63.75">
      <c r="A6" s="281"/>
      <c r="B6" s="281"/>
      <c r="C6" s="282"/>
      <c r="D6" s="282"/>
      <c r="E6" s="282"/>
      <c r="F6" s="243" t="s">
        <v>7</v>
      </c>
      <c r="G6" s="243" t="s">
        <v>8</v>
      </c>
      <c r="H6" s="243" t="s">
        <v>9</v>
      </c>
      <c r="I6" s="243" t="s">
        <v>10</v>
      </c>
      <c r="J6" s="243" t="s">
        <v>11</v>
      </c>
      <c r="K6" s="243" t="s">
        <v>74</v>
      </c>
      <c r="L6" s="62" t="s">
        <v>75</v>
      </c>
    </row>
    <row r="7" spans="1:12" ht="38.25">
      <c r="A7" s="63" t="s">
        <v>76</v>
      </c>
      <c r="B7" s="32" t="s">
        <v>15</v>
      </c>
      <c r="C7" s="32">
        <v>80</v>
      </c>
      <c r="D7" s="33"/>
      <c r="E7" s="33"/>
      <c r="F7" s="33"/>
      <c r="G7" s="33"/>
      <c r="H7" s="33"/>
      <c r="I7" s="33"/>
      <c r="J7" s="33"/>
      <c r="K7" s="33"/>
      <c r="L7" s="64"/>
    </row>
    <row r="8" spans="1:12" s="318" customFormat="1" ht="40.5" customHeight="1">
      <c r="A8" s="36" t="s">
        <v>77</v>
      </c>
      <c r="B8" s="37" t="s">
        <v>78</v>
      </c>
      <c r="C8" s="316">
        <f>38888+137106</f>
        <v>175994</v>
      </c>
      <c r="D8" s="38"/>
      <c r="E8" s="38"/>
      <c r="F8" s="38"/>
      <c r="G8" s="38"/>
      <c r="H8" s="38"/>
      <c r="I8" s="38"/>
      <c r="J8" s="38"/>
      <c r="K8" s="38"/>
      <c r="L8" s="317"/>
    </row>
    <row r="9" spans="1:12" s="266" customFormat="1" ht="30" customHeight="1">
      <c r="A9" s="263" t="s">
        <v>347</v>
      </c>
      <c r="B9" s="39" t="s">
        <v>24</v>
      </c>
      <c r="C9" s="264">
        <v>1</v>
      </c>
      <c r="D9" s="47">
        <v>195000000</v>
      </c>
      <c r="E9" s="47">
        <f>(D9*C9)</f>
        <v>195000000</v>
      </c>
      <c r="F9" s="47">
        <f>E9</f>
        <v>195000000</v>
      </c>
      <c r="G9" s="47"/>
      <c r="H9" s="47"/>
      <c r="I9" s="47"/>
      <c r="J9" s="47"/>
      <c r="K9" s="47"/>
      <c r="L9" s="265"/>
    </row>
    <row r="10" spans="1:12" ht="25.5">
      <c r="A10" s="65" t="s">
        <v>79</v>
      </c>
      <c r="B10" s="66" t="s">
        <v>80</v>
      </c>
      <c r="C10" s="66">
        <v>20</v>
      </c>
      <c r="D10" s="66"/>
      <c r="E10" s="66"/>
      <c r="F10" s="66"/>
      <c r="G10" s="67"/>
      <c r="H10" s="67"/>
      <c r="I10" s="67"/>
      <c r="J10" s="67"/>
      <c r="K10" s="67"/>
      <c r="L10" s="68"/>
    </row>
    <row r="11" spans="1:12" ht="27.75" customHeight="1">
      <c r="A11" s="65" t="s">
        <v>81</v>
      </c>
      <c r="B11" s="66" t="s">
        <v>82</v>
      </c>
      <c r="C11" s="66">
        <v>30</v>
      </c>
      <c r="D11" s="66"/>
      <c r="E11" s="66"/>
      <c r="F11" s="66"/>
      <c r="G11" s="67"/>
      <c r="H11" s="67"/>
      <c r="I11" s="67"/>
      <c r="J11" s="67"/>
      <c r="K11" s="67"/>
      <c r="L11" s="68"/>
    </row>
    <row r="12" spans="1:12" s="266" customFormat="1" ht="33" customHeight="1">
      <c r="A12" s="42" t="s">
        <v>83</v>
      </c>
      <c r="B12" s="39" t="s">
        <v>84</v>
      </c>
      <c r="C12" s="47">
        <v>11</v>
      </c>
      <c r="D12" s="47">
        <f>3500000*1.004</f>
        <v>3514000</v>
      </c>
      <c r="E12" s="47">
        <f>(D12*C12)</f>
        <v>38654000</v>
      </c>
      <c r="F12" s="47">
        <f t="shared" ref="F12:F19" si="0">E12</f>
        <v>38654000</v>
      </c>
      <c r="G12" s="48"/>
      <c r="H12" s="48"/>
      <c r="I12" s="48"/>
      <c r="J12" s="48"/>
      <c r="K12" s="48"/>
      <c r="L12" s="265"/>
    </row>
    <row r="13" spans="1:12" s="266" customFormat="1" ht="33" customHeight="1">
      <c r="A13" s="42" t="s">
        <v>85</v>
      </c>
      <c r="B13" s="47" t="s">
        <v>24</v>
      </c>
      <c r="C13" s="47">
        <v>1</v>
      </c>
      <c r="D13" s="47">
        <f>13000000*1.004</f>
        <v>13052000</v>
      </c>
      <c r="E13" s="47">
        <f>(D13*C13)</f>
        <v>13052000</v>
      </c>
      <c r="F13" s="47">
        <f t="shared" si="0"/>
        <v>13052000</v>
      </c>
      <c r="G13" s="48"/>
      <c r="H13" s="48"/>
      <c r="I13" s="48"/>
      <c r="J13" s="48"/>
      <c r="K13" s="48"/>
      <c r="L13" s="265"/>
    </row>
    <row r="14" spans="1:12" ht="27.75" customHeight="1">
      <c r="A14" s="65" t="s">
        <v>86</v>
      </c>
      <c r="B14" s="69" t="s">
        <v>87</v>
      </c>
      <c r="C14" s="66">
        <v>3</v>
      </c>
      <c r="D14" s="66">
        <f>E15+E16</f>
        <v>0</v>
      </c>
      <c r="E14" s="66">
        <f>D14</f>
        <v>0</v>
      </c>
      <c r="F14" s="66">
        <f t="shared" si="0"/>
        <v>0</v>
      </c>
      <c r="G14" s="67"/>
      <c r="H14" s="67"/>
      <c r="I14" s="67"/>
      <c r="J14" s="67"/>
      <c r="K14" s="67"/>
      <c r="L14" s="68"/>
    </row>
    <row r="15" spans="1:12" s="266" customFormat="1" ht="31.5" customHeight="1">
      <c r="A15" s="42" t="s">
        <v>88</v>
      </c>
      <c r="B15" s="39" t="s">
        <v>20</v>
      </c>
      <c r="C15" s="47">
        <v>1</v>
      </c>
      <c r="D15" s="47"/>
      <c r="E15" s="47">
        <f>(D15*C15)</f>
        <v>0</v>
      </c>
      <c r="F15" s="47">
        <f t="shared" si="0"/>
        <v>0</v>
      </c>
      <c r="G15" s="48"/>
      <c r="H15" s="48"/>
      <c r="I15" s="48"/>
      <c r="J15" s="48"/>
      <c r="K15" s="48"/>
      <c r="L15" s="265"/>
    </row>
    <row r="16" spans="1:12" s="266" customFormat="1" ht="31.5" customHeight="1">
      <c r="A16" s="42" t="s">
        <v>348</v>
      </c>
      <c r="B16" s="39" t="s">
        <v>24</v>
      </c>
      <c r="C16" s="47">
        <v>1</v>
      </c>
      <c r="D16" s="47"/>
      <c r="E16" s="47">
        <f>(D16*2)*C16</f>
        <v>0</v>
      </c>
      <c r="F16" s="47">
        <f t="shared" si="0"/>
        <v>0</v>
      </c>
      <c r="G16" s="48"/>
      <c r="H16" s="48"/>
      <c r="I16" s="48"/>
      <c r="J16" s="48"/>
      <c r="K16" s="48"/>
      <c r="L16" s="265"/>
    </row>
    <row r="17" spans="1:12" ht="30.75" customHeight="1">
      <c r="A17" s="65" t="s">
        <v>89</v>
      </c>
      <c r="B17" s="69" t="s">
        <v>90</v>
      </c>
      <c r="C17" s="66">
        <v>1</v>
      </c>
      <c r="D17" s="66"/>
      <c r="E17" s="66"/>
      <c r="F17" s="66"/>
      <c r="G17" s="67"/>
      <c r="H17" s="67"/>
      <c r="I17" s="67"/>
      <c r="J17" s="67"/>
      <c r="K17" s="67"/>
      <c r="L17" s="68"/>
    </row>
    <row r="18" spans="1:12" s="266" customFormat="1" ht="31.5" customHeight="1">
      <c r="A18" s="42" t="s">
        <v>349</v>
      </c>
      <c r="B18" s="39" t="s">
        <v>24</v>
      </c>
      <c r="C18" s="47">
        <v>1</v>
      </c>
      <c r="D18" s="47">
        <v>88536000</v>
      </c>
      <c r="E18" s="47">
        <f>D18*C18</f>
        <v>88536000</v>
      </c>
      <c r="F18" s="47">
        <f t="shared" si="0"/>
        <v>88536000</v>
      </c>
      <c r="G18" s="48"/>
      <c r="H18" s="48"/>
      <c r="I18" s="48"/>
      <c r="J18" s="48"/>
      <c r="K18" s="48"/>
      <c r="L18" s="265"/>
    </row>
    <row r="19" spans="1:12" s="50" customFormat="1" ht="30.75" customHeight="1">
      <c r="A19" s="267" t="s">
        <v>91</v>
      </c>
      <c r="B19" s="39" t="s">
        <v>24</v>
      </c>
      <c r="C19" s="47">
        <v>1</v>
      </c>
      <c r="D19" s="268">
        <f>35000000*1.004</f>
        <v>35140000</v>
      </c>
      <c r="E19" s="47">
        <f>(D19*C19)</f>
        <v>35140000</v>
      </c>
      <c r="F19" s="47">
        <f t="shared" si="0"/>
        <v>35140000</v>
      </c>
      <c r="G19" s="269"/>
      <c r="H19" s="269"/>
      <c r="I19" s="269"/>
      <c r="J19" s="269"/>
      <c r="K19" s="269"/>
      <c r="L19" s="265"/>
    </row>
    <row r="20" spans="1:12" ht="28.5" customHeight="1">
      <c r="A20" s="31" t="s">
        <v>92</v>
      </c>
      <c r="B20" s="32" t="s">
        <v>15</v>
      </c>
      <c r="C20" s="32">
        <v>33</v>
      </c>
      <c r="D20" s="33"/>
      <c r="E20" s="33"/>
      <c r="F20" s="33"/>
      <c r="G20" s="71"/>
      <c r="H20" s="71"/>
      <c r="I20" s="71"/>
      <c r="J20" s="71"/>
      <c r="K20" s="71"/>
      <c r="L20" s="64"/>
    </row>
    <row r="21" spans="1:12" s="318" customFormat="1" ht="28.5" customHeight="1">
      <c r="A21" s="36" t="s">
        <v>93</v>
      </c>
      <c r="B21" s="37" t="s">
        <v>20</v>
      </c>
      <c r="C21" s="316">
        <v>1</v>
      </c>
      <c r="D21" s="38">
        <f>E22</f>
        <v>0</v>
      </c>
      <c r="E21" s="38">
        <f>D21</f>
        <v>0</v>
      </c>
      <c r="F21" s="38">
        <f>E21</f>
        <v>0</v>
      </c>
      <c r="G21" s="34"/>
      <c r="H21" s="34"/>
      <c r="I21" s="34"/>
      <c r="J21" s="34"/>
      <c r="K21" s="34"/>
      <c r="L21" s="317"/>
    </row>
    <row r="22" spans="1:12" s="266" customFormat="1" ht="33.75" customHeight="1">
      <c r="A22" s="42" t="s">
        <v>349</v>
      </c>
      <c r="B22" s="39" t="s">
        <v>24</v>
      </c>
      <c r="C22" s="47">
        <v>1</v>
      </c>
      <c r="D22" s="47"/>
      <c r="E22" s="47">
        <f>(D22*C22)</f>
        <v>0</v>
      </c>
      <c r="F22" s="47">
        <f>E22</f>
        <v>0</v>
      </c>
      <c r="G22" s="48"/>
      <c r="H22" s="48"/>
      <c r="I22" s="48"/>
      <c r="J22" s="48"/>
      <c r="K22" s="48"/>
      <c r="L22" s="265"/>
    </row>
    <row r="23" spans="1:12" s="318" customFormat="1" ht="28.5" customHeight="1">
      <c r="A23" s="36" t="s">
        <v>94</v>
      </c>
      <c r="B23" s="37" t="s">
        <v>90</v>
      </c>
      <c r="C23" s="316">
        <v>1</v>
      </c>
      <c r="D23" s="38"/>
      <c r="E23" s="38"/>
      <c r="F23" s="38"/>
      <c r="G23" s="34"/>
      <c r="H23" s="34"/>
      <c r="I23" s="34"/>
      <c r="J23" s="34"/>
      <c r="K23" s="34"/>
      <c r="L23" s="317"/>
    </row>
    <row r="24" spans="1:12" ht="30.75" customHeight="1">
      <c r="A24" s="31" t="s">
        <v>95</v>
      </c>
      <c r="B24" s="32" t="s">
        <v>15</v>
      </c>
      <c r="C24" s="32">
        <v>100</v>
      </c>
      <c r="D24" s="33"/>
      <c r="E24" s="33"/>
      <c r="F24" s="33"/>
      <c r="G24" s="71"/>
      <c r="H24" s="71"/>
      <c r="I24" s="71"/>
      <c r="J24" s="71"/>
      <c r="K24" s="71"/>
      <c r="L24" s="64"/>
    </row>
    <row r="25" spans="1:12" s="318" customFormat="1" ht="30.75" customHeight="1">
      <c r="A25" s="36" t="s">
        <v>96</v>
      </c>
      <c r="B25" s="37" t="s">
        <v>87</v>
      </c>
      <c r="C25" s="316">
        <v>1</v>
      </c>
      <c r="D25" s="38"/>
      <c r="E25" s="38"/>
      <c r="F25" s="38"/>
      <c r="G25" s="34"/>
      <c r="H25" s="34"/>
      <c r="I25" s="34"/>
      <c r="J25" s="34"/>
      <c r="K25" s="34"/>
      <c r="L25" s="317"/>
    </row>
    <row r="26" spans="1:12" s="266" customFormat="1" ht="31.5" customHeight="1">
      <c r="A26" s="42" t="s">
        <v>97</v>
      </c>
      <c r="B26" s="39" t="s">
        <v>24</v>
      </c>
      <c r="C26" s="47">
        <v>1</v>
      </c>
      <c r="D26" s="47">
        <f>5900000*1.004</f>
        <v>5923600</v>
      </c>
      <c r="E26" s="47">
        <f>(D26*C26)</f>
        <v>5923600</v>
      </c>
      <c r="F26" s="47">
        <f t="shared" ref="F26:F31" si="1">E26</f>
        <v>5923600</v>
      </c>
      <c r="G26" s="48"/>
      <c r="H26" s="48"/>
      <c r="I26" s="48"/>
      <c r="J26" s="48"/>
      <c r="K26" s="48"/>
      <c r="L26" s="265"/>
    </row>
    <row r="27" spans="1:12" ht="25.5">
      <c r="A27" s="65" t="s">
        <v>98</v>
      </c>
      <c r="B27" s="69" t="s">
        <v>99</v>
      </c>
      <c r="C27" s="69">
        <v>100</v>
      </c>
      <c r="D27" s="66"/>
      <c r="E27" s="66"/>
      <c r="F27" s="66"/>
      <c r="G27" s="67"/>
      <c r="H27" s="67"/>
      <c r="I27" s="67"/>
      <c r="J27" s="67"/>
      <c r="K27" s="67"/>
      <c r="L27" s="68"/>
    </row>
    <row r="28" spans="1:12" s="266" customFormat="1" ht="31.5" customHeight="1">
      <c r="A28" s="42" t="s">
        <v>100</v>
      </c>
      <c r="B28" s="39" t="s">
        <v>24</v>
      </c>
      <c r="C28" s="47">
        <v>1</v>
      </c>
      <c r="D28" s="47">
        <f>8000000*1.004</f>
        <v>8032000</v>
      </c>
      <c r="E28" s="47">
        <f>(D28*C28)</f>
        <v>8032000</v>
      </c>
      <c r="F28" s="47">
        <f>E28</f>
        <v>8032000</v>
      </c>
      <c r="G28" s="48"/>
      <c r="H28" s="48"/>
      <c r="I28" s="48"/>
      <c r="J28" s="48"/>
      <c r="K28" s="48"/>
      <c r="L28" s="265"/>
    </row>
    <row r="29" spans="1:12" s="266" customFormat="1" ht="31.5" customHeight="1">
      <c r="A29" s="42" t="s">
        <v>101</v>
      </c>
      <c r="B29" s="39" t="s">
        <v>24</v>
      </c>
      <c r="C29" s="47">
        <v>1</v>
      </c>
      <c r="D29" s="47">
        <f>1500000*1.004</f>
        <v>1506000</v>
      </c>
      <c r="E29" s="47">
        <f>(D29*C29)</f>
        <v>1506000</v>
      </c>
      <c r="F29" s="47">
        <f t="shared" si="1"/>
        <v>1506000</v>
      </c>
      <c r="G29" s="48"/>
      <c r="H29" s="48"/>
      <c r="I29" s="48"/>
      <c r="J29" s="48"/>
      <c r="K29" s="48"/>
      <c r="L29" s="265"/>
    </row>
    <row r="30" spans="1:12" s="266" customFormat="1" ht="31.5" customHeight="1">
      <c r="A30" s="42" t="s">
        <v>102</v>
      </c>
      <c r="B30" s="39" t="s">
        <v>24</v>
      </c>
      <c r="C30" s="47">
        <v>1</v>
      </c>
      <c r="D30" s="47">
        <f>1500000*1.004</f>
        <v>1506000</v>
      </c>
      <c r="E30" s="47">
        <f>D30</f>
        <v>1506000</v>
      </c>
      <c r="F30" s="47">
        <f>E30</f>
        <v>1506000</v>
      </c>
      <c r="G30" s="48"/>
      <c r="H30" s="48"/>
      <c r="I30" s="48"/>
      <c r="J30" s="48"/>
      <c r="K30" s="48"/>
      <c r="L30" s="265"/>
    </row>
    <row r="31" spans="1:12" s="266" customFormat="1" ht="31.5" customHeight="1">
      <c r="A31" s="42" t="s">
        <v>103</v>
      </c>
      <c r="B31" s="39" t="s">
        <v>24</v>
      </c>
      <c r="C31" s="47">
        <v>1</v>
      </c>
      <c r="D31" s="47">
        <f>12600000*1.004</f>
        <v>12650400</v>
      </c>
      <c r="E31" s="47">
        <f>(D31*C31)</f>
        <v>12650400</v>
      </c>
      <c r="F31" s="47">
        <f t="shared" si="1"/>
        <v>12650400</v>
      </c>
      <c r="G31" s="48"/>
      <c r="H31" s="48"/>
      <c r="I31" s="48"/>
      <c r="J31" s="48"/>
      <c r="K31" s="48"/>
      <c r="L31" s="265"/>
    </row>
    <row r="32" spans="1:12">
      <c r="A32" s="279" t="s">
        <v>37</v>
      </c>
      <c r="B32" s="279"/>
      <c r="C32" s="279"/>
      <c r="D32" s="279"/>
      <c r="E32" s="70">
        <f>SUM(E7:E31)</f>
        <v>400000000</v>
      </c>
      <c r="F32" s="70">
        <f>SUM(F7:F31)</f>
        <v>400000000</v>
      </c>
      <c r="G32" s="72">
        <f>+'[3]FUENTES Y USOS'!D8</f>
        <v>0</v>
      </c>
      <c r="H32" s="72">
        <f>+'[3]FUENTES Y USOS'!E8</f>
        <v>0</v>
      </c>
      <c r="I32" s="72">
        <f>+'[3]FUENTES Y USOS'!F8</f>
        <v>0</v>
      </c>
      <c r="J32" s="72">
        <f>+'[3]FUENTES Y USOS'!G8</f>
        <v>0</v>
      </c>
      <c r="K32" s="72">
        <f>+'[3]FUENTES Y USOS'!H8</f>
        <v>0</v>
      </c>
      <c r="L32" s="72">
        <f>+'[3]FUENTES Y USOS'!I8</f>
        <v>0</v>
      </c>
    </row>
    <row r="33" spans="1:12">
      <c r="A33" s="293" t="s">
        <v>38</v>
      </c>
      <c r="B33" s="293"/>
      <c r="C33" s="293"/>
      <c r="D33" s="293"/>
      <c r="E33" s="73">
        <f>+'FUENTES Y USOS'!S8</f>
        <v>400000000</v>
      </c>
      <c r="F33" s="73">
        <f>+'FUENTES Y USOS'!M8</f>
        <v>400000000</v>
      </c>
      <c r="G33" s="73">
        <f>+'FUENTES Y USOS'!N8</f>
        <v>0</v>
      </c>
      <c r="H33" s="73">
        <f>+'FUENTES Y USOS'!O8</f>
        <v>0</v>
      </c>
      <c r="I33" s="73">
        <f>+'FUENTES Y USOS'!P8</f>
        <v>0</v>
      </c>
      <c r="J33" s="73">
        <f>+'FUENTES Y USOS'!Q8</f>
        <v>0</v>
      </c>
      <c r="K33" s="73">
        <f>+'FUENTES Y USOS'!R8</f>
        <v>0</v>
      </c>
      <c r="L33" s="72">
        <v>0</v>
      </c>
    </row>
    <row r="34" spans="1:12">
      <c r="A34" s="279" t="s">
        <v>39</v>
      </c>
      <c r="B34" s="279"/>
      <c r="C34" s="279"/>
      <c r="D34" s="279"/>
      <c r="E34" s="74">
        <f t="shared" ref="E34:K34" si="2">+E33-E32</f>
        <v>0</v>
      </c>
      <c r="F34" s="74">
        <f t="shared" si="2"/>
        <v>0</v>
      </c>
      <c r="G34" s="270">
        <f t="shared" si="2"/>
        <v>0</v>
      </c>
      <c r="H34" s="270">
        <f t="shared" si="2"/>
        <v>0</v>
      </c>
      <c r="I34" s="270">
        <f t="shared" si="2"/>
        <v>0</v>
      </c>
      <c r="J34" s="270">
        <f t="shared" si="2"/>
        <v>0</v>
      </c>
      <c r="K34" s="270">
        <f t="shared" si="2"/>
        <v>0</v>
      </c>
      <c r="L34" s="270"/>
    </row>
    <row r="37" spans="1:12">
      <c r="A37" s="75"/>
      <c r="B37" s="292" t="s">
        <v>40</v>
      </c>
      <c r="C37" s="292"/>
      <c r="D37" s="292"/>
      <c r="E37" s="292"/>
    </row>
    <row r="38" spans="1:12">
      <c r="A38" s="77"/>
      <c r="B38" s="292" t="s">
        <v>42</v>
      </c>
      <c r="C38" s="292"/>
      <c r="D38" s="292"/>
      <c r="E38" s="292"/>
    </row>
  </sheetData>
  <autoFilter ref="A6:M34"/>
  <mergeCells count="16">
    <mergeCell ref="F5:L5"/>
    <mergeCell ref="B1:J3"/>
    <mergeCell ref="K1:L1"/>
    <mergeCell ref="K2:L2"/>
    <mergeCell ref="K3:L3"/>
    <mergeCell ref="A4:L4"/>
    <mergeCell ref="A5:A6"/>
    <mergeCell ref="B5:B6"/>
    <mergeCell ref="C5:C6"/>
    <mergeCell ref="D5:D6"/>
    <mergeCell ref="E5:E6"/>
    <mergeCell ref="A32:D32"/>
    <mergeCell ref="A33:D33"/>
    <mergeCell ref="A34:D34"/>
    <mergeCell ref="B37:E37"/>
    <mergeCell ref="B38:E3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B1" workbookViewId="0">
      <pane ySplit="6" topLeftCell="A7" activePane="bottomLeft" state="frozen"/>
      <selection activeCell="B1" sqref="B1"/>
      <selection pane="bottomLeft" sqref="A1:L3"/>
    </sheetView>
  </sheetViews>
  <sheetFormatPr baseColWidth="10" defaultRowHeight="15"/>
  <cols>
    <col min="1" max="1" width="49.140625" style="278" customWidth="1"/>
    <col min="2" max="2" width="12.28515625" style="271" customWidth="1"/>
    <col min="3" max="3" width="14" style="271" customWidth="1"/>
    <col min="4" max="4" width="15.7109375" style="87" customWidth="1"/>
    <col min="5" max="5" width="19" style="87" customWidth="1"/>
    <col min="6" max="6" width="16.140625" style="271" customWidth="1"/>
    <col min="7" max="7" width="15.140625" style="271" bestFit="1" customWidth="1"/>
    <col min="8" max="8" width="16.140625" style="271" customWidth="1"/>
    <col min="9" max="9" width="15.140625" style="271" bestFit="1" customWidth="1"/>
    <col min="10" max="10" width="11.5703125" style="271" bestFit="1" customWidth="1"/>
    <col min="11" max="11" width="15.85546875" style="271" customWidth="1"/>
    <col min="12" max="12" width="0" style="271" hidden="1" customWidth="1"/>
    <col min="13" max="16384" width="11.42578125" style="271"/>
  </cols>
  <sheetData>
    <row r="1" spans="1:12">
      <c r="A1" s="335"/>
      <c r="B1" s="336" t="s">
        <v>356</v>
      </c>
      <c r="C1" s="337"/>
      <c r="D1" s="337"/>
      <c r="E1" s="337"/>
      <c r="F1" s="337"/>
      <c r="G1" s="337"/>
      <c r="H1" s="337"/>
      <c r="I1" s="337"/>
      <c r="J1" s="338"/>
      <c r="K1" s="329" t="s">
        <v>357</v>
      </c>
      <c r="L1" s="330"/>
    </row>
    <row r="2" spans="1:12">
      <c r="A2" s="335"/>
      <c r="B2" s="339"/>
      <c r="C2" s="340"/>
      <c r="D2" s="340"/>
      <c r="E2" s="340"/>
      <c r="F2" s="340"/>
      <c r="G2" s="340"/>
      <c r="H2" s="340"/>
      <c r="I2" s="340"/>
      <c r="J2" s="341"/>
      <c r="K2" s="331" t="s">
        <v>358</v>
      </c>
      <c r="L2" s="332"/>
    </row>
    <row r="3" spans="1:12" ht="15.75" thickBot="1">
      <c r="A3" s="335"/>
      <c r="B3" s="342"/>
      <c r="C3" s="343"/>
      <c r="D3" s="343"/>
      <c r="E3" s="343"/>
      <c r="F3" s="343"/>
      <c r="G3" s="343"/>
      <c r="H3" s="343"/>
      <c r="I3" s="343"/>
      <c r="J3" s="344"/>
      <c r="K3" s="333" t="s">
        <v>359</v>
      </c>
      <c r="L3" s="334"/>
    </row>
    <row r="4" spans="1:12" s="320" customFormat="1">
      <c r="A4" s="352" t="s">
        <v>104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</row>
    <row r="5" spans="1:12" ht="15" customHeight="1">
      <c r="A5" s="298" t="s">
        <v>44</v>
      </c>
      <c r="B5" s="300" t="s">
        <v>2</v>
      </c>
      <c r="C5" s="301" t="s">
        <v>3</v>
      </c>
      <c r="D5" s="301" t="s">
        <v>4</v>
      </c>
      <c r="E5" s="301" t="s">
        <v>5</v>
      </c>
      <c r="F5" s="301" t="s">
        <v>6</v>
      </c>
      <c r="G5" s="301"/>
      <c r="H5" s="301"/>
      <c r="I5" s="301"/>
      <c r="J5" s="301"/>
      <c r="K5" s="301"/>
    </row>
    <row r="6" spans="1:12" ht="25.5">
      <c r="A6" s="299"/>
      <c r="B6" s="300"/>
      <c r="C6" s="301"/>
      <c r="D6" s="301"/>
      <c r="E6" s="301"/>
      <c r="F6" s="244" t="s">
        <v>7</v>
      </c>
      <c r="G6" s="244" t="s">
        <v>8</v>
      </c>
      <c r="H6" s="244" t="s">
        <v>9</v>
      </c>
      <c r="I6" s="244" t="s">
        <v>10</v>
      </c>
      <c r="J6" s="244" t="s">
        <v>11</v>
      </c>
      <c r="K6" s="244" t="s">
        <v>12</v>
      </c>
    </row>
    <row r="7" spans="1:12" s="273" customFormat="1" ht="30.75" customHeight="1">
      <c r="A7" s="78" t="s">
        <v>105</v>
      </c>
      <c r="B7" s="79" t="s">
        <v>15</v>
      </c>
      <c r="C7" s="33">
        <v>100</v>
      </c>
      <c r="D7" s="272"/>
      <c r="E7" s="81"/>
      <c r="F7" s="81"/>
      <c r="G7" s="81"/>
      <c r="H7" s="81"/>
      <c r="I7" s="81"/>
      <c r="J7" s="81"/>
      <c r="K7" s="81"/>
    </row>
    <row r="8" spans="1:12" s="320" customFormat="1" ht="29.25" customHeight="1">
      <c r="A8" s="319" t="s">
        <v>345</v>
      </c>
      <c r="B8" s="37" t="s">
        <v>78</v>
      </c>
      <c r="C8" s="38">
        <v>66787</v>
      </c>
      <c r="D8" s="316"/>
      <c r="E8" s="38"/>
      <c r="F8" s="38"/>
      <c r="G8" s="194"/>
      <c r="H8" s="194"/>
      <c r="I8" s="194"/>
      <c r="J8" s="194"/>
      <c r="K8" s="194"/>
    </row>
    <row r="9" spans="1:12" s="320" customFormat="1" ht="39" customHeight="1">
      <c r="A9" s="319" t="s">
        <v>350</v>
      </c>
      <c r="B9" s="37" t="s">
        <v>24</v>
      </c>
      <c r="C9" s="38">
        <v>1</v>
      </c>
      <c r="D9" s="316">
        <v>75300000</v>
      </c>
      <c r="E9" s="38">
        <v>75300000</v>
      </c>
      <c r="F9" s="38">
        <f t="shared" ref="F9:F10" si="0">E9</f>
        <v>75300000</v>
      </c>
      <c r="G9" s="194"/>
      <c r="H9" s="194"/>
      <c r="I9" s="194"/>
      <c r="J9" s="194"/>
      <c r="K9" s="194"/>
    </row>
    <row r="10" spans="1:12" s="320" customFormat="1" ht="37.5" customHeight="1">
      <c r="A10" s="321" t="s">
        <v>351</v>
      </c>
      <c r="B10" s="37" t="s">
        <v>24</v>
      </c>
      <c r="C10" s="38">
        <v>1</v>
      </c>
      <c r="D10" s="316">
        <f>16000000*1.004</f>
        <v>16064000</v>
      </c>
      <c r="E10" s="38">
        <f>+C10*D10</f>
        <v>16064000</v>
      </c>
      <c r="F10" s="38">
        <f t="shared" si="0"/>
        <v>16064000</v>
      </c>
      <c r="G10" s="194"/>
      <c r="H10" s="194"/>
      <c r="I10" s="194"/>
      <c r="J10" s="194"/>
      <c r="K10" s="194"/>
    </row>
    <row r="11" spans="1:12" s="320" customFormat="1" ht="29.25" customHeight="1">
      <c r="A11" s="319" t="s">
        <v>346</v>
      </c>
      <c r="B11" s="37" t="s">
        <v>78</v>
      </c>
      <c r="C11" s="38">
        <v>220884</v>
      </c>
      <c r="D11" s="316"/>
      <c r="E11" s="38"/>
      <c r="F11" s="38"/>
      <c r="G11" s="194"/>
      <c r="H11" s="194"/>
      <c r="I11" s="38"/>
      <c r="J11" s="194"/>
      <c r="K11" s="194"/>
    </row>
    <row r="12" spans="1:12" s="320" customFormat="1" ht="39" customHeight="1">
      <c r="A12" s="319" t="s">
        <v>350</v>
      </c>
      <c r="B12" s="37" t="s">
        <v>24</v>
      </c>
      <c r="C12" s="38">
        <v>1</v>
      </c>
      <c r="D12" s="316">
        <v>439291355</v>
      </c>
      <c r="E12" s="38">
        <f>+C12*D12</f>
        <v>439291355</v>
      </c>
      <c r="F12" s="38">
        <f>E12</f>
        <v>439291355</v>
      </c>
      <c r="G12" s="194"/>
      <c r="H12" s="194"/>
      <c r="I12" s="194"/>
      <c r="J12" s="194"/>
      <c r="K12" s="194"/>
    </row>
    <row r="13" spans="1:12" s="320" customFormat="1" ht="39" customHeight="1">
      <c r="A13" s="321" t="s">
        <v>351</v>
      </c>
      <c r="B13" s="37" t="s">
        <v>24</v>
      </c>
      <c r="C13" s="38">
        <v>1</v>
      </c>
      <c r="D13" s="316">
        <f t="shared" ref="D13" si="1">3500000*1.004</f>
        <v>3514000</v>
      </c>
      <c r="E13" s="38">
        <v>452336136</v>
      </c>
      <c r="F13" s="38">
        <f>E13-I13</f>
        <v>267267389</v>
      </c>
      <c r="G13" s="194"/>
      <c r="H13" s="194"/>
      <c r="I13" s="38">
        <v>185068747</v>
      </c>
      <c r="J13" s="194"/>
      <c r="K13" s="194"/>
    </row>
    <row r="14" spans="1:12" s="274" customFormat="1" ht="33.75" customHeight="1">
      <c r="A14" s="78" t="s">
        <v>108</v>
      </c>
      <c r="B14" s="32" t="s">
        <v>15</v>
      </c>
      <c r="C14" s="33">
        <v>25</v>
      </c>
      <c r="D14" s="272"/>
      <c r="E14" s="81"/>
      <c r="F14" s="81"/>
      <c r="G14" s="81"/>
      <c r="H14" s="81"/>
      <c r="I14" s="81"/>
      <c r="J14" s="81"/>
      <c r="K14" s="81"/>
    </row>
    <row r="15" spans="1:12" s="320" customFormat="1" ht="30.75" customHeight="1">
      <c r="A15" s="319" t="s">
        <v>109</v>
      </c>
      <c r="B15" s="37" t="s">
        <v>78</v>
      </c>
      <c r="C15" s="38">
        <v>217</v>
      </c>
      <c r="D15" s="316"/>
      <c r="E15" s="38"/>
      <c r="F15" s="38"/>
      <c r="G15" s="194"/>
      <c r="H15" s="194"/>
      <c r="I15" s="194"/>
      <c r="J15" s="194"/>
      <c r="K15" s="194"/>
    </row>
    <row r="16" spans="1:12" s="276" customFormat="1" ht="56.25" customHeight="1">
      <c r="A16" s="275" t="s">
        <v>352</v>
      </c>
      <c r="B16" s="39" t="s">
        <v>24</v>
      </c>
      <c r="C16" s="47">
        <v>1</v>
      </c>
      <c r="D16" s="268">
        <v>45782400</v>
      </c>
      <c r="E16" s="47">
        <f>D16</f>
        <v>45782400</v>
      </c>
      <c r="F16" s="47">
        <f>D16</f>
        <v>45782400</v>
      </c>
      <c r="G16" s="269"/>
      <c r="H16" s="269"/>
      <c r="I16" s="269"/>
      <c r="J16" s="269"/>
      <c r="K16" s="269"/>
    </row>
    <row r="17" spans="1:13" s="276" customFormat="1" ht="42" customHeight="1">
      <c r="A17" s="267" t="s">
        <v>353</v>
      </c>
      <c r="B17" s="39" t="s">
        <v>24</v>
      </c>
      <c r="C17" s="47">
        <v>1</v>
      </c>
      <c r="D17" s="268">
        <v>178109600</v>
      </c>
      <c r="E17" s="47">
        <f>D17</f>
        <v>178109600</v>
      </c>
      <c r="F17" s="47">
        <f>D17</f>
        <v>178109600</v>
      </c>
      <c r="G17" s="269"/>
      <c r="H17" s="269"/>
      <c r="I17" s="269"/>
      <c r="J17" s="269"/>
      <c r="K17" s="269"/>
    </row>
    <row r="18" spans="1:13" s="273" customFormat="1" ht="40.5" customHeight="1">
      <c r="A18" s="78" t="s">
        <v>110</v>
      </c>
      <c r="B18" s="32" t="s">
        <v>47</v>
      </c>
      <c r="C18" s="33">
        <v>100</v>
      </c>
      <c r="D18" s="272"/>
      <c r="E18" s="71"/>
      <c r="F18" s="71"/>
      <c r="G18" s="71"/>
      <c r="H18" s="71"/>
      <c r="I18" s="71"/>
      <c r="J18" s="71"/>
      <c r="K18" s="71"/>
    </row>
    <row r="19" spans="1:13" s="320" customFormat="1" ht="31.5" customHeight="1">
      <c r="A19" s="319" t="s">
        <v>111</v>
      </c>
      <c r="B19" s="37" t="s">
        <v>87</v>
      </c>
      <c r="C19" s="38">
        <v>4</v>
      </c>
      <c r="D19" s="316">
        <f>SUM(E20:E21)</f>
        <v>122939537</v>
      </c>
      <c r="E19" s="38"/>
      <c r="F19" s="38"/>
      <c r="G19" s="34"/>
      <c r="H19" s="34"/>
      <c r="I19" s="34"/>
      <c r="J19" s="34"/>
      <c r="K19" s="34"/>
    </row>
    <row r="20" spans="1:13" s="320" customFormat="1" ht="30" customHeight="1">
      <c r="A20" s="321" t="s">
        <v>354</v>
      </c>
      <c r="B20" s="37" t="s">
        <v>24</v>
      </c>
      <c r="C20" s="38">
        <v>1</v>
      </c>
      <c r="D20" s="316">
        <v>55722000</v>
      </c>
      <c r="E20" s="38">
        <f>(D20*C20)</f>
        <v>55722000</v>
      </c>
      <c r="F20" s="38">
        <f t="shared" ref="F20:F26" si="2">E20</f>
        <v>55722000</v>
      </c>
      <c r="G20" s="194"/>
      <c r="H20" s="194"/>
      <c r="I20" s="194"/>
      <c r="J20" s="194"/>
      <c r="K20" s="194"/>
    </row>
    <row r="21" spans="1:13" s="320" customFormat="1" ht="33" customHeight="1">
      <c r="A21" s="321" t="s">
        <v>355</v>
      </c>
      <c r="B21" s="37" t="s">
        <v>24</v>
      </c>
      <c r="C21" s="38">
        <v>1</v>
      </c>
      <c r="D21" s="316">
        <v>67217537</v>
      </c>
      <c r="E21" s="38">
        <f>(D21*C21)</f>
        <v>67217537</v>
      </c>
      <c r="F21" s="38">
        <f t="shared" si="2"/>
        <v>67217537</v>
      </c>
      <c r="G21" s="194"/>
      <c r="H21" s="194"/>
      <c r="I21" s="194"/>
      <c r="J21" s="194"/>
      <c r="K21" s="194"/>
    </row>
    <row r="22" spans="1:13" ht="25.5">
      <c r="A22" s="82" t="s">
        <v>98</v>
      </c>
      <c r="B22" s="69" t="s">
        <v>99</v>
      </c>
      <c r="C22" s="69">
        <v>100</v>
      </c>
      <c r="D22" s="66">
        <f>SUM(E23:E26)</f>
        <v>28614000</v>
      </c>
      <c r="E22" s="66"/>
      <c r="F22" s="66"/>
      <c r="G22" s="67"/>
      <c r="H22" s="67"/>
      <c r="I22" s="67"/>
      <c r="J22" s="67"/>
      <c r="K22" s="67"/>
    </row>
    <row r="23" spans="1:13" s="318" customFormat="1" ht="31.5" customHeight="1">
      <c r="A23" s="36" t="s">
        <v>101</v>
      </c>
      <c r="B23" s="37" t="s">
        <v>24</v>
      </c>
      <c r="C23" s="38">
        <v>1</v>
      </c>
      <c r="D23" s="38">
        <f>1500000*1.004</f>
        <v>1506000</v>
      </c>
      <c r="E23" s="38">
        <f t="shared" ref="E23:E26" si="3">D23</f>
        <v>1506000</v>
      </c>
      <c r="F23" s="38">
        <f t="shared" si="2"/>
        <v>1506000</v>
      </c>
      <c r="G23" s="34"/>
      <c r="H23" s="34"/>
      <c r="I23" s="34"/>
      <c r="J23" s="34"/>
      <c r="K23" s="34"/>
      <c r="L23" s="317"/>
    </row>
    <row r="24" spans="1:13" s="318" customFormat="1" ht="31.5" customHeight="1">
      <c r="A24" s="36" t="s">
        <v>102</v>
      </c>
      <c r="B24" s="37" t="s">
        <v>24</v>
      </c>
      <c r="C24" s="38">
        <v>1</v>
      </c>
      <c r="D24" s="38">
        <f>1500000*1.004</f>
        <v>1506000</v>
      </c>
      <c r="E24" s="38">
        <f>D24</f>
        <v>1506000</v>
      </c>
      <c r="F24" s="38">
        <f>E24</f>
        <v>1506000</v>
      </c>
      <c r="G24" s="34"/>
      <c r="H24" s="34"/>
      <c r="I24" s="34"/>
      <c r="J24" s="34"/>
      <c r="K24" s="34"/>
      <c r="L24" s="317"/>
    </row>
    <row r="25" spans="1:13" s="318" customFormat="1" ht="31.5" customHeight="1">
      <c r="A25" s="36" t="s">
        <v>100</v>
      </c>
      <c r="B25" s="37" t="s">
        <v>24</v>
      </c>
      <c r="C25" s="38">
        <v>1</v>
      </c>
      <c r="D25" s="38">
        <f>12000000*1.004</f>
        <v>12048000</v>
      </c>
      <c r="E25" s="38">
        <f t="shared" si="3"/>
        <v>12048000</v>
      </c>
      <c r="F25" s="38">
        <f t="shared" si="2"/>
        <v>12048000</v>
      </c>
      <c r="G25" s="34"/>
      <c r="H25" s="34"/>
      <c r="I25" s="34"/>
      <c r="J25" s="34"/>
      <c r="K25" s="34"/>
      <c r="L25" s="317"/>
    </row>
    <row r="26" spans="1:13" s="318" customFormat="1" ht="31.5" customHeight="1">
      <c r="A26" s="36" t="s">
        <v>103</v>
      </c>
      <c r="B26" s="37" t="s">
        <v>24</v>
      </c>
      <c r="C26" s="38">
        <v>1</v>
      </c>
      <c r="D26" s="38">
        <f>13500000*1.004</f>
        <v>13554000</v>
      </c>
      <c r="E26" s="38">
        <f t="shared" si="3"/>
        <v>13554000</v>
      </c>
      <c r="F26" s="38">
        <f t="shared" si="2"/>
        <v>13554000</v>
      </c>
      <c r="G26" s="34"/>
      <c r="H26" s="34"/>
      <c r="I26" s="34"/>
      <c r="J26" s="34"/>
      <c r="K26" s="34"/>
      <c r="L26" s="317"/>
    </row>
    <row r="27" spans="1:13">
      <c r="A27" s="279" t="s">
        <v>37</v>
      </c>
      <c r="B27" s="279"/>
      <c r="C27" s="279"/>
      <c r="D27" s="279"/>
      <c r="E27" s="83">
        <f>SUM(E7:E26)</f>
        <v>1358437028</v>
      </c>
      <c r="F27" s="277">
        <f>SUM(F7:F26)</f>
        <v>1173368281</v>
      </c>
      <c r="G27" s="277">
        <f>SUM(G7:G22)</f>
        <v>0</v>
      </c>
      <c r="H27" s="277">
        <f>SUM(H7:H22)</f>
        <v>0</v>
      </c>
      <c r="I27" s="277">
        <f>SUM(I7:I26)</f>
        <v>185068747</v>
      </c>
      <c r="J27" s="277">
        <f>SUM(J7:J22)</f>
        <v>0</v>
      </c>
      <c r="K27" s="277">
        <f>SUM(K7:K22)</f>
        <v>0</v>
      </c>
      <c r="M27" s="87"/>
    </row>
    <row r="28" spans="1:13">
      <c r="A28" s="297" t="s">
        <v>38</v>
      </c>
      <c r="B28" s="297"/>
      <c r="C28" s="297"/>
      <c r="D28" s="297"/>
      <c r="E28" s="83">
        <f>+'FUENTES Y USOS'!S9</f>
        <v>1358437028</v>
      </c>
      <c r="F28" s="277">
        <f>+'FUENTES Y USOS'!M9</f>
        <v>1173368280.79</v>
      </c>
      <c r="G28" s="277">
        <f>+'FUENTES Y USOS'!N9</f>
        <v>0</v>
      </c>
      <c r="H28" s="277">
        <f>+'FUENTES Y USOS'!O9</f>
        <v>0</v>
      </c>
      <c r="I28" s="277">
        <f>+'FUENTES Y USOS'!P9</f>
        <v>185068747.21000004</v>
      </c>
      <c r="J28" s="277">
        <f>+'FUENTES Y USOS'!Q9</f>
        <v>0</v>
      </c>
      <c r="K28" s="277">
        <f>+'FUENTES Y USOS'!R9</f>
        <v>0</v>
      </c>
    </row>
    <row r="29" spans="1:13" ht="15" customHeight="1">
      <c r="A29" s="279" t="s">
        <v>39</v>
      </c>
      <c r="B29" s="279"/>
      <c r="C29" s="279"/>
      <c r="D29" s="279"/>
      <c r="E29" s="84">
        <f>+E28-E27</f>
        <v>0</v>
      </c>
      <c r="F29" s="84">
        <f>+F28-F27</f>
        <v>-0.21000003814697266</v>
      </c>
      <c r="G29" s="84">
        <f t="shared" ref="G29:L29" si="4">+G28-G27</f>
        <v>0</v>
      </c>
      <c r="H29" s="84">
        <f t="shared" si="4"/>
        <v>0</v>
      </c>
      <c r="I29" s="84">
        <f t="shared" si="4"/>
        <v>0.21000003814697266</v>
      </c>
      <c r="J29" s="84">
        <f t="shared" si="4"/>
        <v>0</v>
      </c>
      <c r="K29" s="84">
        <f t="shared" si="4"/>
        <v>0</v>
      </c>
      <c r="L29" s="84">
        <f t="shared" si="4"/>
        <v>0</v>
      </c>
    </row>
    <row r="32" spans="1:13">
      <c r="A32" s="85"/>
      <c r="B32" s="292" t="s">
        <v>40</v>
      </c>
      <c r="C32" s="292"/>
      <c r="D32" s="292"/>
      <c r="E32" s="292"/>
      <c r="F32" s="76"/>
      <c r="G32" s="61"/>
      <c r="H32" s="61"/>
      <c r="I32" s="61"/>
      <c r="J32" s="61"/>
      <c r="K32" s="61"/>
    </row>
    <row r="33" spans="1:11" s="61" customFormat="1" ht="12.75">
      <c r="A33" s="86"/>
      <c r="B33" s="292" t="s">
        <v>42</v>
      </c>
      <c r="C33" s="292"/>
      <c r="D33" s="292"/>
      <c r="E33" s="292"/>
      <c r="F33" s="76"/>
    </row>
    <row r="34" spans="1:11" s="61" customFormat="1">
      <c r="A34" s="278"/>
      <c r="B34" s="271"/>
      <c r="C34" s="271"/>
      <c r="D34" s="87"/>
      <c r="E34" s="87"/>
      <c r="F34" s="271"/>
      <c r="G34" s="271"/>
      <c r="H34" s="271"/>
      <c r="I34" s="271"/>
      <c r="J34" s="271"/>
      <c r="K34" s="271"/>
    </row>
  </sheetData>
  <mergeCells count="16">
    <mergeCell ref="A4:K4"/>
    <mergeCell ref="A5:A6"/>
    <mergeCell ref="B5:B6"/>
    <mergeCell ref="C5:C6"/>
    <mergeCell ref="D5:D6"/>
    <mergeCell ref="E5:E6"/>
    <mergeCell ref="F5:K5"/>
    <mergeCell ref="B1:J3"/>
    <mergeCell ref="K1:L1"/>
    <mergeCell ref="K2:L2"/>
    <mergeCell ref="K3:L3"/>
    <mergeCell ref="A27:D27"/>
    <mergeCell ref="A28:D28"/>
    <mergeCell ref="A29:D29"/>
    <mergeCell ref="B32:E32"/>
    <mergeCell ref="B33:E3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zoomScale="90" zoomScaleNormal="90" workbookViewId="0">
      <pane xSplit="5" ySplit="6" topLeftCell="F7" activePane="bottomRight" state="frozen"/>
      <selection pane="topRight" activeCell="G1" sqref="G1"/>
      <selection pane="bottomLeft" activeCell="A4" sqref="A4"/>
      <selection pane="bottomRight" sqref="A1:L3"/>
    </sheetView>
  </sheetViews>
  <sheetFormatPr baseColWidth="10" defaultRowHeight="12.75"/>
  <cols>
    <col min="1" max="1" width="34.28515625" style="192" customWidth="1"/>
    <col min="2" max="2" width="15.42578125" style="192" customWidth="1"/>
    <col min="3" max="3" width="9.7109375" style="328" customWidth="1"/>
    <col min="4" max="4" width="19" style="192" customWidth="1"/>
    <col min="5" max="5" width="13.140625" style="192" customWidth="1"/>
    <col min="6" max="6" width="16.85546875" style="192" customWidth="1"/>
    <col min="7" max="7" width="13" style="192" customWidth="1"/>
    <col min="8" max="8" width="14.28515625" style="192" customWidth="1"/>
    <col min="9" max="9" width="17.140625" style="192" customWidth="1"/>
    <col min="10" max="10" width="14" style="192" customWidth="1"/>
    <col min="11" max="12" width="13.42578125" style="192" customWidth="1"/>
    <col min="13" max="14" width="11.42578125" style="192" customWidth="1"/>
    <col min="15" max="15" width="17.42578125" style="192" customWidth="1"/>
    <col min="16" max="16" width="13.28515625" style="192" customWidth="1"/>
    <col min="17" max="256" width="11.42578125" style="192"/>
    <col min="257" max="257" width="34.28515625" style="192" customWidth="1"/>
    <col min="258" max="258" width="15.42578125" style="192" customWidth="1"/>
    <col min="259" max="259" width="9.7109375" style="192" customWidth="1"/>
    <col min="260" max="260" width="12.42578125" style="192" customWidth="1"/>
    <col min="261" max="261" width="13.140625" style="192" customWidth="1"/>
    <col min="262" max="262" width="12.5703125" style="192" customWidth="1"/>
    <col min="263" max="263" width="13" style="192" customWidth="1"/>
    <col min="264" max="264" width="14.28515625" style="192" customWidth="1"/>
    <col min="265" max="265" width="17.140625" style="192" customWidth="1"/>
    <col min="266" max="266" width="14" style="192" customWidth="1"/>
    <col min="267" max="268" width="13.42578125" style="192" customWidth="1"/>
    <col min="269" max="270" width="11.42578125" style="192" customWidth="1"/>
    <col min="271" max="271" width="17.42578125" style="192" customWidth="1"/>
    <col min="272" max="272" width="13.28515625" style="192" customWidth="1"/>
    <col min="273" max="512" width="11.42578125" style="192"/>
    <col min="513" max="513" width="34.28515625" style="192" customWidth="1"/>
    <col min="514" max="514" width="15.42578125" style="192" customWidth="1"/>
    <col min="515" max="515" width="9.7109375" style="192" customWidth="1"/>
    <col min="516" max="516" width="12.42578125" style="192" customWidth="1"/>
    <col min="517" max="517" width="13.140625" style="192" customWidth="1"/>
    <col min="518" max="518" width="12.5703125" style="192" customWidth="1"/>
    <col min="519" max="519" width="13" style="192" customWidth="1"/>
    <col min="520" max="520" width="14.28515625" style="192" customWidth="1"/>
    <col min="521" max="521" width="17.140625" style="192" customWidth="1"/>
    <col min="522" max="522" width="14" style="192" customWidth="1"/>
    <col min="523" max="524" width="13.42578125" style="192" customWidth="1"/>
    <col min="525" max="526" width="11.42578125" style="192" customWidth="1"/>
    <col min="527" max="527" width="17.42578125" style="192" customWidth="1"/>
    <col min="528" max="528" width="13.28515625" style="192" customWidth="1"/>
    <col min="529" max="768" width="11.42578125" style="192"/>
    <col min="769" max="769" width="34.28515625" style="192" customWidth="1"/>
    <col min="770" max="770" width="15.42578125" style="192" customWidth="1"/>
    <col min="771" max="771" width="9.7109375" style="192" customWidth="1"/>
    <col min="772" max="772" width="12.42578125" style="192" customWidth="1"/>
    <col min="773" max="773" width="13.140625" style="192" customWidth="1"/>
    <col min="774" max="774" width="12.5703125" style="192" customWidth="1"/>
    <col min="775" max="775" width="13" style="192" customWidth="1"/>
    <col min="776" max="776" width="14.28515625" style="192" customWidth="1"/>
    <col min="777" max="777" width="17.140625" style="192" customWidth="1"/>
    <col min="778" max="778" width="14" style="192" customWidth="1"/>
    <col min="779" max="780" width="13.42578125" style="192" customWidth="1"/>
    <col min="781" max="782" width="11.42578125" style="192" customWidth="1"/>
    <col min="783" max="783" width="17.42578125" style="192" customWidth="1"/>
    <col min="784" max="784" width="13.28515625" style="192" customWidth="1"/>
    <col min="785" max="1024" width="11.42578125" style="192"/>
    <col min="1025" max="1025" width="34.28515625" style="192" customWidth="1"/>
    <col min="1026" max="1026" width="15.42578125" style="192" customWidth="1"/>
    <col min="1027" max="1027" width="9.7109375" style="192" customWidth="1"/>
    <col min="1028" max="1028" width="12.42578125" style="192" customWidth="1"/>
    <col min="1029" max="1029" width="13.140625" style="192" customWidth="1"/>
    <col min="1030" max="1030" width="12.5703125" style="192" customWidth="1"/>
    <col min="1031" max="1031" width="13" style="192" customWidth="1"/>
    <col min="1032" max="1032" width="14.28515625" style="192" customWidth="1"/>
    <col min="1033" max="1033" width="17.140625" style="192" customWidth="1"/>
    <col min="1034" max="1034" width="14" style="192" customWidth="1"/>
    <col min="1035" max="1036" width="13.42578125" style="192" customWidth="1"/>
    <col min="1037" max="1038" width="11.42578125" style="192" customWidth="1"/>
    <col min="1039" max="1039" width="17.42578125" style="192" customWidth="1"/>
    <col min="1040" max="1040" width="13.28515625" style="192" customWidth="1"/>
    <col min="1041" max="1280" width="11.42578125" style="192"/>
    <col min="1281" max="1281" width="34.28515625" style="192" customWidth="1"/>
    <col min="1282" max="1282" width="15.42578125" style="192" customWidth="1"/>
    <col min="1283" max="1283" width="9.7109375" style="192" customWidth="1"/>
    <col min="1284" max="1284" width="12.42578125" style="192" customWidth="1"/>
    <col min="1285" max="1285" width="13.140625" style="192" customWidth="1"/>
    <col min="1286" max="1286" width="12.5703125" style="192" customWidth="1"/>
    <col min="1287" max="1287" width="13" style="192" customWidth="1"/>
    <col min="1288" max="1288" width="14.28515625" style="192" customWidth="1"/>
    <col min="1289" max="1289" width="17.140625" style="192" customWidth="1"/>
    <col min="1290" max="1290" width="14" style="192" customWidth="1"/>
    <col min="1291" max="1292" width="13.42578125" style="192" customWidth="1"/>
    <col min="1293" max="1294" width="11.42578125" style="192" customWidth="1"/>
    <col min="1295" max="1295" width="17.42578125" style="192" customWidth="1"/>
    <col min="1296" max="1296" width="13.28515625" style="192" customWidth="1"/>
    <col min="1297" max="1536" width="11.42578125" style="192"/>
    <col min="1537" max="1537" width="34.28515625" style="192" customWidth="1"/>
    <col min="1538" max="1538" width="15.42578125" style="192" customWidth="1"/>
    <col min="1539" max="1539" width="9.7109375" style="192" customWidth="1"/>
    <col min="1540" max="1540" width="12.42578125" style="192" customWidth="1"/>
    <col min="1541" max="1541" width="13.140625" style="192" customWidth="1"/>
    <col min="1542" max="1542" width="12.5703125" style="192" customWidth="1"/>
    <col min="1543" max="1543" width="13" style="192" customWidth="1"/>
    <col min="1544" max="1544" width="14.28515625" style="192" customWidth="1"/>
    <col min="1545" max="1545" width="17.140625" style="192" customWidth="1"/>
    <col min="1546" max="1546" width="14" style="192" customWidth="1"/>
    <col min="1547" max="1548" width="13.42578125" style="192" customWidth="1"/>
    <col min="1549" max="1550" width="11.42578125" style="192" customWidth="1"/>
    <col min="1551" max="1551" width="17.42578125" style="192" customWidth="1"/>
    <col min="1552" max="1552" width="13.28515625" style="192" customWidth="1"/>
    <col min="1553" max="1792" width="11.42578125" style="192"/>
    <col min="1793" max="1793" width="34.28515625" style="192" customWidth="1"/>
    <col min="1794" max="1794" width="15.42578125" style="192" customWidth="1"/>
    <col min="1795" max="1795" width="9.7109375" style="192" customWidth="1"/>
    <col min="1796" max="1796" width="12.42578125" style="192" customWidth="1"/>
    <col min="1797" max="1797" width="13.140625" style="192" customWidth="1"/>
    <col min="1798" max="1798" width="12.5703125" style="192" customWidth="1"/>
    <col min="1799" max="1799" width="13" style="192" customWidth="1"/>
    <col min="1800" max="1800" width="14.28515625" style="192" customWidth="1"/>
    <col min="1801" max="1801" width="17.140625" style="192" customWidth="1"/>
    <col min="1802" max="1802" width="14" style="192" customWidth="1"/>
    <col min="1803" max="1804" width="13.42578125" style="192" customWidth="1"/>
    <col min="1805" max="1806" width="11.42578125" style="192" customWidth="1"/>
    <col min="1807" max="1807" width="17.42578125" style="192" customWidth="1"/>
    <col min="1808" max="1808" width="13.28515625" style="192" customWidth="1"/>
    <col min="1809" max="2048" width="11.42578125" style="192"/>
    <col min="2049" max="2049" width="34.28515625" style="192" customWidth="1"/>
    <col min="2050" max="2050" width="15.42578125" style="192" customWidth="1"/>
    <col min="2051" max="2051" width="9.7109375" style="192" customWidth="1"/>
    <col min="2052" max="2052" width="12.42578125" style="192" customWidth="1"/>
    <col min="2053" max="2053" width="13.140625" style="192" customWidth="1"/>
    <col min="2054" max="2054" width="12.5703125" style="192" customWidth="1"/>
    <col min="2055" max="2055" width="13" style="192" customWidth="1"/>
    <col min="2056" max="2056" width="14.28515625" style="192" customWidth="1"/>
    <col min="2057" max="2057" width="17.140625" style="192" customWidth="1"/>
    <col min="2058" max="2058" width="14" style="192" customWidth="1"/>
    <col min="2059" max="2060" width="13.42578125" style="192" customWidth="1"/>
    <col min="2061" max="2062" width="11.42578125" style="192" customWidth="1"/>
    <col min="2063" max="2063" width="17.42578125" style="192" customWidth="1"/>
    <col min="2064" max="2064" width="13.28515625" style="192" customWidth="1"/>
    <col min="2065" max="2304" width="11.42578125" style="192"/>
    <col min="2305" max="2305" width="34.28515625" style="192" customWidth="1"/>
    <col min="2306" max="2306" width="15.42578125" style="192" customWidth="1"/>
    <col min="2307" max="2307" width="9.7109375" style="192" customWidth="1"/>
    <col min="2308" max="2308" width="12.42578125" style="192" customWidth="1"/>
    <col min="2309" max="2309" width="13.140625" style="192" customWidth="1"/>
    <col min="2310" max="2310" width="12.5703125" style="192" customWidth="1"/>
    <col min="2311" max="2311" width="13" style="192" customWidth="1"/>
    <col min="2312" max="2312" width="14.28515625" style="192" customWidth="1"/>
    <col min="2313" max="2313" width="17.140625" style="192" customWidth="1"/>
    <col min="2314" max="2314" width="14" style="192" customWidth="1"/>
    <col min="2315" max="2316" width="13.42578125" style="192" customWidth="1"/>
    <col min="2317" max="2318" width="11.42578125" style="192" customWidth="1"/>
    <col min="2319" max="2319" width="17.42578125" style="192" customWidth="1"/>
    <col min="2320" max="2320" width="13.28515625" style="192" customWidth="1"/>
    <col min="2321" max="2560" width="11.42578125" style="192"/>
    <col min="2561" max="2561" width="34.28515625" style="192" customWidth="1"/>
    <col min="2562" max="2562" width="15.42578125" style="192" customWidth="1"/>
    <col min="2563" max="2563" width="9.7109375" style="192" customWidth="1"/>
    <col min="2564" max="2564" width="12.42578125" style="192" customWidth="1"/>
    <col min="2565" max="2565" width="13.140625" style="192" customWidth="1"/>
    <col min="2566" max="2566" width="12.5703125" style="192" customWidth="1"/>
    <col min="2567" max="2567" width="13" style="192" customWidth="1"/>
    <col min="2568" max="2568" width="14.28515625" style="192" customWidth="1"/>
    <col min="2569" max="2569" width="17.140625" style="192" customWidth="1"/>
    <col min="2570" max="2570" width="14" style="192" customWidth="1"/>
    <col min="2571" max="2572" width="13.42578125" style="192" customWidth="1"/>
    <col min="2573" max="2574" width="11.42578125" style="192" customWidth="1"/>
    <col min="2575" max="2575" width="17.42578125" style="192" customWidth="1"/>
    <col min="2576" max="2576" width="13.28515625" style="192" customWidth="1"/>
    <col min="2577" max="2816" width="11.42578125" style="192"/>
    <col min="2817" max="2817" width="34.28515625" style="192" customWidth="1"/>
    <col min="2818" max="2818" width="15.42578125" style="192" customWidth="1"/>
    <col min="2819" max="2819" width="9.7109375" style="192" customWidth="1"/>
    <col min="2820" max="2820" width="12.42578125" style="192" customWidth="1"/>
    <col min="2821" max="2821" width="13.140625" style="192" customWidth="1"/>
    <col min="2822" max="2822" width="12.5703125" style="192" customWidth="1"/>
    <col min="2823" max="2823" width="13" style="192" customWidth="1"/>
    <col min="2824" max="2824" width="14.28515625" style="192" customWidth="1"/>
    <col min="2825" max="2825" width="17.140625" style="192" customWidth="1"/>
    <col min="2826" max="2826" width="14" style="192" customWidth="1"/>
    <col min="2827" max="2828" width="13.42578125" style="192" customWidth="1"/>
    <col min="2829" max="2830" width="11.42578125" style="192" customWidth="1"/>
    <col min="2831" max="2831" width="17.42578125" style="192" customWidth="1"/>
    <col min="2832" max="2832" width="13.28515625" style="192" customWidth="1"/>
    <col min="2833" max="3072" width="11.42578125" style="192"/>
    <col min="3073" max="3073" width="34.28515625" style="192" customWidth="1"/>
    <col min="3074" max="3074" width="15.42578125" style="192" customWidth="1"/>
    <col min="3075" max="3075" width="9.7109375" style="192" customWidth="1"/>
    <col min="3076" max="3076" width="12.42578125" style="192" customWidth="1"/>
    <col min="3077" max="3077" width="13.140625" style="192" customWidth="1"/>
    <col min="3078" max="3078" width="12.5703125" style="192" customWidth="1"/>
    <col min="3079" max="3079" width="13" style="192" customWidth="1"/>
    <col min="3080" max="3080" width="14.28515625" style="192" customWidth="1"/>
    <col min="3081" max="3081" width="17.140625" style="192" customWidth="1"/>
    <col min="3082" max="3082" width="14" style="192" customWidth="1"/>
    <col min="3083" max="3084" width="13.42578125" style="192" customWidth="1"/>
    <col min="3085" max="3086" width="11.42578125" style="192" customWidth="1"/>
    <col min="3087" max="3087" width="17.42578125" style="192" customWidth="1"/>
    <col min="3088" max="3088" width="13.28515625" style="192" customWidth="1"/>
    <col min="3089" max="3328" width="11.42578125" style="192"/>
    <col min="3329" max="3329" width="34.28515625" style="192" customWidth="1"/>
    <col min="3330" max="3330" width="15.42578125" style="192" customWidth="1"/>
    <col min="3331" max="3331" width="9.7109375" style="192" customWidth="1"/>
    <col min="3332" max="3332" width="12.42578125" style="192" customWidth="1"/>
    <col min="3333" max="3333" width="13.140625" style="192" customWidth="1"/>
    <col min="3334" max="3334" width="12.5703125" style="192" customWidth="1"/>
    <col min="3335" max="3335" width="13" style="192" customWidth="1"/>
    <col min="3336" max="3336" width="14.28515625" style="192" customWidth="1"/>
    <col min="3337" max="3337" width="17.140625" style="192" customWidth="1"/>
    <col min="3338" max="3338" width="14" style="192" customWidth="1"/>
    <col min="3339" max="3340" width="13.42578125" style="192" customWidth="1"/>
    <col min="3341" max="3342" width="11.42578125" style="192" customWidth="1"/>
    <col min="3343" max="3343" width="17.42578125" style="192" customWidth="1"/>
    <col min="3344" max="3344" width="13.28515625" style="192" customWidth="1"/>
    <col min="3345" max="3584" width="11.42578125" style="192"/>
    <col min="3585" max="3585" width="34.28515625" style="192" customWidth="1"/>
    <col min="3586" max="3586" width="15.42578125" style="192" customWidth="1"/>
    <col min="3587" max="3587" width="9.7109375" style="192" customWidth="1"/>
    <col min="3588" max="3588" width="12.42578125" style="192" customWidth="1"/>
    <col min="3589" max="3589" width="13.140625" style="192" customWidth="1"/>
    <col min="3590" max="3590" width="12.5703125" style="192" customWidth="1"/>
    <col min="3591" max="3591" width="13" style="192" customWidth="1"/>
    <col min="3592" max="3592" width="14.28515625" style="192" customWidth="1"/>
    <col min="3593" max="3593" width="17.140625" style="192" customWidth="1"/>
    <col min="3594" max="3594" width="14" style="192" customWidth="1"/>
    <col min="3595" max="3596" width="13.42578125" style="192" customWidth="1"/>
    <col min="3597" max="3598" width="11.42578125" style="192" customWidth="1"/>
    <col min="3599" max="3599" width="17.42578125" style="192" customWidth="1"/>
    <col min="3600" max="3600" width="13.28515625" style="192" customWidth="1"/>
    <col min="3601" max="3840" width="11.42578125" style="192"/>
    <col min="3841" max="3841" width="34.28515625" style="192" customWidth="1"/>
    <col min="3842" max="3842" width="15.42578125" style="192" customWidth="1"/>
    <col min="3843" max="3843" width="9.7109375" style="192" customWidth="1"/>
    <col min="3844" max="3844" width="12.42578125" style="192" customWidth="1"/>
    <col min="3845" max="3845" width="13.140625" style="192" customWidth="1"/>
    <col min="3846" max="3846" width="12.5703125" style="192" customWidth="1"/>
    <col min="3847" max="3847" width="13" style="192" customWidth="1"/>
    <col min="3848" max="3848" width="14.28515625" style="192" customWidth="1"/>
    <col min="3849" max="3849" width="17.140625" style="192" customWidth="1"/>
    <col min="3850" max="3850" width="14" style="192" customWidth="1"/>
    <col min="3851" max="3852" width="13.42578125" style="192" customWidth="1"/>
    <col min="3853" max="3854" width="11.42578125" style="192" customWidth="1"/>
    <col min="3855" max="3855" width="17.42578125" style="192" customWidth="1"/>
    <col min="3856" max="3856" width="13.28515625" style="192" customWidth="1"/>
    <col min="3857" max="4096" width="11.42578125" style="192"/>
    <col min="4097" max="4097" width="34.28515625" style="192" customWidth="1"/>
    <col min="4098" max="4098" width="15.42578125" style="192" customWidth="1"/>
    <col min="4099" max="4099" width="9.7109375" style="192" customWidth="1"/>
    <col min="4100" max="4100" width="12.42578125" style="192" customWidth="1"/>
    <col min="4101" max="4101" width="13.140625" style="192" customWidth="1"/>
    <col min="4102" max="4102" width="12.5703125" style="192" customWidth="1"/>
    <col min="4103" max="4103" width="13" style="192" customWidth="1"/>
    <col min="4104" max="4104" width="14.28515625" style="192" customWidth="1"/>
    <col min="4105" max="4105" width="17.140625" style="192" customWidth="1"/>
    <col min="4106" max="4106" width="14" style="192" customWidth="1"/>
    <col min="4107" max="4108" width="13.42578125" style="192" customWidth="1"/>
    <col min="4109" max="4110" width="11.42578125" style="192" customWidth="1"/>
    <col min="4111" max="4111" width="17.42578125" style="192" customWidth="1"/>
    <col min="4112" max="4112" width="13.28515625" style="192" customWidth="1"/>
    <col min="4113" max="4352" width="11.42578125" style="192"/>
    <col min="4353" max="4353" width="34.28515625" style="192" customWidth="1"/>
    <col min="4354" max="4354" width="15.42578125" style="192" customWidth="1"/>
    <col min="4355" max="4355" width="9.7109375" style="192" customWidth="1"/>
    <col min="4356" max="4356" width="12.42578125" style="192" customWidth="1"/>
    <col min="4357" max="4357" width="13.140625" style="192" customWidth="1"/>
    <col min="4358" max="4358" width="12.5703125" style="192" customWidth="1"/>
    <col min="4359" max="4359" width="13" style="192" customWidth="1"/>
    <col min="4360" max="4360" width="14.28515625" style="192" customWidth="1"/>
    <col min="4361" max="4361" width="17.140625" style="192" customWidth="1"/>
    <col min="4362" max="4362" width="14" style="192" customWidth="1"/>
    <col min="4363" max="4364" width="13.42578125" style="192" customWidth="1"/>
    <col min="4365" max="4366" width="11.42578125" style="192" customWidth="1"/>
    <col min="4367" max="4367" width="17.42578125" style="192" customWidth="1"/>
    <col min="4368" max="4368" width="13.28515625" style="192" customWidth="1"/>
    <col min="4369" max="4608" width="11.42578125" style="192"/>
    <col min="4609" max="4609" width="34.28515625" style="192" customWidth="1"/>
    <col min="4610" max="4610" width="15.42578125" style="192" customWidth="1"/>
    <col min="4611" max="4611" width="9.7109375" style="192" customWidth="1"/>
    <col min="4612" max="4612" width="12.42578125" style="192" customWidth="1"/>
    <col min="4613" max="4613" width="13.140625" style="192" customWidth="1"/>
    <col min="4614" max="4614" width="12.5703125" style="192" customWidth="1"/>
    <col min="4615" max="4615" width="13" style="192" customWidth="1"/>
    <col min="4616" max="4616" width="14.28515625" style="192" customWidth="1"/>
    <col min="4617" max="4617" width="17.140625" style="192" customWidth="1"/>
    <col min="4618" max="4618" width="14" style="192" customWidth="1"/>
    <col min="4619" max="4620" width="13.42578125" style="192" customWidth="1"/>
    <col min="4621" max="4622" width="11.42578125" style="192" customWidth="1"/>
    <col min="4623" max="4623" width="17.42578125" style="192" customWidth="1"/>
    <col min="4624" max="4624" width="13.28515625" style="192" customWidth="1"/>
    <col min="4625" max="4864" width="11.42578125" style="192"/>
    <col min="4865" max="4865" width="34.28515625" style="192" customWidth="1"/>
    <col min="4866" max="4866" width="15.42578125" style="192" customWidth="1"/>
    <col min="4867" max="4867" width="9.7109375" style="192" customWidth="1"/>
    <col min="4868" max="4868" width="12.42578125" style="192" customWidth="1"/>
    <col min="4869" max="4869" width="13.140625" style="192" customWidth="1"/>
    <col min="4870" max="4870" width="12.5703125" style="192" customWidth="1"/>
    <col min="4871" max="4871" width="13" style="192" customWidth="1"/>
    <col min="4872" max="4872" width="14.28515625" style="192" customWidth="1"/>
    <col min="4873" max="4873" width="17.140625" style="192" customWidth="1"/>
    <col min="4874" max="4874" width="14" style="192" customWidth="1"/>
    <col min="4875" max="4876" width="13.42578125" style="192" customWidth="1"/>
    <col min="4877" max="4878" width="11.42578125" style="192" customWidth="1"/>
    <col min="4879" max="4879" width="17.42578125" style="192" customWidth="1"/>
    <col min="4880" max="4880" width="13.28515625" style="192" customWidth="1"/>
    <col min="4881" max="5120" width="11.42578125" style="192"/>
    <col min="5121" max="5121" width="34.28515625" style="192" customWidth="1"/>
    <col min="5122" max="5122" width="15.42578125" style="192" customWidth="1"/>
    <col min="5123" max="5123" width="9.7109375" style="192" customWidth="1"/>
    <col min="5124" max="5124" width="12.42578125" style="192" customWidth="1"/>
    <col min="5125" max="5125" width="13.140625" style="192" customWidth="1"/>
    <col min="5126" max="5126" width="12.5703125" style="192" customWidth="1"/>
    <col min="5127" max="5127" width="13" style="192" customWidth="1"/>
    <col min="5128" max="5128" width="14.28515625" style="192" customWidth="1"/>
    <col min="5129" max="5129" width="17.140625" style="192" customWidth="1"/>
    <col min="5130" max="5130" width="14" style="192" customWidth="1"/>
    <col min="5131" max="5132" width="13.42578125" style="192" customWidth="1"/>
    <col min="5133" max="5134" width="11.42578125" style="192" customWidth="1"/>
    <col min="5135" max="5135" width="17.42578125" style="192" customWidth="1"/>
    <col min="5136" max="5136" width="13.28515625" style="192" customWidth="1"/>
    <col min="5137" max="5376" width="11.42578125" style="192"/>
    <col min="5377" max="5377" width="34.28515625" style="192" customWidth="1"/>
    <col min="5378" max="5378" width="15.42578125" style="192" customWidth="1"/>
    <col min="5379" max="5379" width="9.7109375" style="192" customWidth="1"/>
    <col min="5380" max="5380" width="12.42578125" style="192" customWidth="1"/>
    <col min="5381" max="5381" width="13.140625" style="192" customWidth="1"/>
    <col min="5382" max="5382" width="12.5703125" style="192" customWidth="1"/>
    <col min="5383" max="5383" width="13" style="192" customWidth="1"/>
    <col min="5384" max="5384" width="14.28515625" style="192" customWidth="1"/>
    <col min="5385" max="5385" width="17.140625" style="192" customWidth="1"/>
    <col min="5386" max="5386" width="14" style="192" customWidth="1"/>
    <col min="5387" max="5388" width="13.42578125" style="192" customWidth="1"/>
    <col min="5389" max="5390" width="11.42578125" style="192" customWidth="1"/>
    <col min="5391" max="5391" width="17.42578125" style="192" customWidth="1"/>
    <col min="5392" max="5392" width="13.28515625" style="192" customWidth="1"/>
    <col min="5393" max="5632" width="11.42578125" style="192"/>
    <col min="5633" max="5633" width="34.28515625" style="192" customWidth="1"/>
    <col min="5634" max="5634" width="15.42578125" style="192" customWidth="1"/>
    <col min="5635" max="5635" width="9.7109375" style="192" customWidth="1"/>
    <col min="5636" max="5636" width="12.42578125" style="192" customWidth="1"/>
    <col min="5637" max="5637" width="13.140625" style="192" customWidth="1"/>
    <col min="5638" max="5638" width="12.5703125" style="192" customWidth="1"/>
    <col min="5639" max="5639" width="13" style="192" customWidth="1"/>
    <col min="5640" max="5640" width="14.28515625" style="192" customWidth="1"/>
    <col min="5641" max="5641" width="17.140625" style="192" customWidth="1"/>
    <col min="5642" max="5642" width="14" style="192" customWidth="1"/>
    <col min="5643" max="5644" width="13.42578125" style="192" customWidth="1"/>
    <col min="5645" max="5646" width="11.42578125" style="192" customWidth="1"/>
    <col min="5647" max="5647" width="17.42578125" style="192" customWidth="1"/>
    <col min="5648" max="5648" width="13.28515625" style="192" customWidth="1"/>
    <col min="5649" max="5888" width="11.42578125" style="192"/>
    <col min="5889" max="5889" width="34.28515625" style="192" customWidth="1"/>
    <col min="5890" max="5890" width="15.42578125" style="192" customWidth="1"/>
    <col min="5891" max="5891" width="9.7109375" style="192" customWidth="1"/>
    <col min="5892" max="5892" width="12.42578125" style="192" customWidth="1"/>
    <col min="5893" max="5893" width="13.140625" style="192" customWidth="1"/>
    <col min="5894" max="5894" width="12.5703125" style="192" customWidth="1"/>
    <col min="5895" max="5895" width="13" style="192" customWidth="1"/>
    <col min="5896" max="5896" width="14.28515625" style="192" customWidth="1"/>
    <col min="5897" max="5897" width="17.140625" style="192" customWidth="1"/>
    <col min="5898" max="5898" width="14" style="192" customWidth="1"/>
    <col min="5899" max="5900" width="13.42578125" style="192" customWidth="1"/>
    <col min="5901" max="5902" width="11.42578125" style="192" customWidth="1"/>
    <col min="5903" max="5903" width="17.42578125" style="192" customWidth="1"/>
    <col min="5904" max="5904" width="13.28515625" style="192" customWidth="1"/>
    <col min="5905" max="6144" width="11.42578125" style="192"/>
    <col min="6145" max="6145" width="34.28515625" style="192" customWidth="1"/>
    <col min="6146" max="6146" width="15.42578125" style="192" customWidth="1"/>
    <col min="6147" max="6147" width="9.7109375" style="192" customWidth="1"/>
    <col min="6148" max="6148" width="12.42578125" style="192" customWidth="1"/>
    <col min="6149" max="6149" width="13.140625" style="192" customWidth="1"/>
    <col min="6150" max="6150" width="12.5703125" style="192" customWidth="1"/>
    <col min="6151" max="6151" width="13" style="192" customWidth="1"/>
    <col min="6152" max="6152" width="14.28515625" style="192" customWidth="1"/>
    <col min="6153" max="6153" width="17.140625" style="192" customWidth="1"/>
    <col min="6154" max="6154" width="14" style="192" customWidth="1"/>
    <col min="6155" max="6156" width="13.42578125" style="192" customWidth="1"/>
    <col min="6157" max="6158" width="11.42578125" style="192" customWidth="1"/>
    <col min="6159" max="6159" width="17.42578125" style="192" customWidth="1"/>
    <col min="6160" max="6160" width="13.28515625" style="192" customWidth="1"/>
    <col min="6161" max="6400" width="11.42578125" style="192"/>
    <col min="6401" max="6401" width="34.28515625" style="192" customWidth="1"/>
    <col min="6402" max="6402" width="15.42578125" style="192" customWidth="1"/>
    <col min="6403" max="6403" width="9.7109375" style="192" customWidth="1"/>
    <col min="6404" max="6404" width="12.42578125" style="192" customWidth="1"/>
    <col min="6405" max="6405" width="13.140625" style="192" customWidth="1"/>
    <col min="6406" max="6406" width="12.5703125" style="192" customWidth="1"/>
    <col min="6407" max="6407" width="13" style="192" customWidth="1"/>
    <col min="6408" max="6408" width="14.28515625" style="192" customWidth="1"/>
    <col min="6409" max="6409" width="17.140625" style="192" customWidth="1"/>
    <col min="6410" max="6410" width="14" style="192" customWidth="1"/>
    <col min="6411" max="6412" width="13.42578125" style="192" customWidth="1"/>
    <col min="6413" max="6414" width="11.42578125" style="192" customWidth="1"/>
    <col min="6415" max="6415" width="17.42578125" style="192" customWidth="1"/>
    <col min="6416" max="6416" width="13.28515625" style="192" customWidth="1"/>
    <col min="6417" max="6656" width="11.42578125" style="192"/>
    <col min="6657" max="6657" width="34.28515625" style="192" customWidth="1"/>
    <col min="6658" max="6658" width="15.42578125" style="192" customWidth="1"/>
    <col min="6659" max="6659" width="9.7109375" style="192" customWidth="1"/>
    <col min="6660" max="6660" width="12.42578125" style="192" customWidth="1"/>
    <col min="6661" max="6661" width="13.140625" style="192" customWidth="1"/>
    <col min="6662" max="6662" width="12.5703125" style="192" customWidth="1"/>
    <col min="6663" max="6663" width="13" style="192" customWidth="1"/>
    <col min="6664" max="6664" width="14.28515625" style="192" customWidth="1"/>
    <col min="6665" max="6665" width="17.140625" style="192" customWidth="1"/>
    <col min="6666" max="6666" width="14" style="192" customWidth="1"/>
    <col min="6667" max="6668" width="13.42578125" style="192" customWidth="1"/>
    <col min="6669" max="6670" width="11.42578125" style="192" customWidth="1"/>
    <col min="6671" max="6671" width="17.42578125" style="192" customWidth="1"/>
    <col min="6672" max="6672" width="13.28515625" style="192" customWidth="1"/>
    <col min="6673" max="6912" width="11.42578125" style="192"/>
    <col min="6913" max="6913" width="34.28515625" style="192" customWidth="1"/>
    <col min="6914" max="6914" width="15.42578125" style="192" customWidth="1"/>
    <col min="6915" max="6915" width="9.7109375" style="192" customWidth="1"/>
    <col min="6916" max="6916" width="12.42578125" style="192" customWidth="1"/>
    <col min="6917" max="6917" width="13.140625" style="192" customWidth="1"/>
    <col min="6918" max="6918" width="12.5703125" style="192" customWidth="1"/>
    <col min="6919" max="6919" width="13" style="192" customWidth="1"/>
    <col min="6920" max="6920" width="14.28515625" style="192" customWidth="1"/>
    <col min="6921" max="6921" width="17.140625" style="192" customWidth="1"/>
    <col min="6922" max="6922" width="14" style="192" customWidth="1"/>
    <col min="6923" max="6924" width="13.42578125" style="192" customWidth="1"/>
    <col min="6925" max="6926" width="11.42578125" style="192" customWidth="1"/>
    <col min="6927" max="6927" width="17.42578125" style="192" customWidth="1"/>
    <col min="6928" max="6928" width="13.28515625" style="192" customWidth="1"/>
    <col min="6929" max="7168" width="11.42578125" style="192"/>
    <col min="7169" max="7169" width="34.28515625" style="192" customWidth="1"/>
    <col min="7170" max="7170" width="15.42578125" style="192" customWidth="1"/>
    <col min="7171" max="7171" width="9.7109375" style="192" customWidth="1"/>
    <col min="7172" max="7172" width="12.42578125" style="192" customWidth="1"/>
    <col min="7173" max="7173" width="13.140625" style="192" customWidth="1"/>
    <col min="7174" max="7174" width="12.5703125" style="192" customWidth="1"/>
    <col min="7175" max="7175" width="13" style="192" customWidth="1"/>
    <col min="7176" max="7176" width="14.28515625" style="192" customWidth="1"/>
    <col min="7177" max="7177" width="17.140625" style="192" customWidth="1"/>
    <col min="7178" max="7178" width="14" style="192" customWidth="1"/>
    <col min="7179" max="7180" width="13.42578125" style="192" customWidth="1"/>
    <col min="7181" max="7182" width="11.42578125" style="192" customWidth="1"/>
    <col min="7183" max="7183" width="17.42578125" style="192" customWidth="1"/>
    <col min="7184" max="7184" width="13.28515625" style="192" customWidth="1"/>
    <col min="7185" max="7424" width="11.42578125" style="192"/>
    <col min="7425" max="7425" width="34.28515625" style="192" customWidth="1"/>
    <col min="7426" max="7426" width="15.42578125" style="192" customWidth="1"/>
    <col min="7427" max="7427" width="9.7109375" style="192" customWidth="1"/>
    <col min="7428" max="7428" width="12.42578125" style="192" customWidth="1"/>
    <col min="7429" max="7429" width="13.140625" style="192" customWidth="1"/>
    <col min="7430" max="7430" width="12.5703125" style="192" customWidth="1"/>
    <col min="7431" max="7431" width="13" style="192" customWidth="1"/>
    <col min="7432" max="7432" width="14.28515625" style="192" customWidth="1"/>
    <col min="7433" max="7433" width="17.140625" style="192" customWidth="1"/>
    <col min="7434" max="7434" width="14" style="192" customWidth="1"/>
    <col min="7435" max="7436" width="13.42578125" style="192" customWidth="1"/>
    <col min="7437" max="7438" width="11.42578125" style="192" customWidth="1"/>
    <col min="7439" max="7439" width="17.42578125" style="192" customWidth="1"/>
    <col min="7440" max="7440" width="13.28515625" style="192" customWidth="1"/>
    <col min="7441" max="7680" width="11.42578125" style="192"/>
    <col min="7681" max="7681" width="34.28515625" style="192" customWidth="1"/>
    <col min="7682" max="7682" width="15.42578125" style="192" customWidth="1"/>
    <col min="7683" max="7683" width="9.7109375" style="192" customWidth="1"/>
    <col min="7684" max="7684" width="12.42578125" style="192" customWidth="1"/>
    <col min="7685" max="7685" width="13.140625" style="192" customWidth="1"/>
    <col min="7686" max="7686" width="12.5703125" style="192" customWidth="1"/>
    <col min="7687" max="7687" width="13" style="192" customWidth="1"/>
    <col min="7688" max="7688" width="14.28515625" style="192" customWidth="1"/>
    <col min="7689" max="7689" width="17.140625" style="192" customWidth="1"/>
    <col min="7690" max="7690" width="14" style="192" customWidth="1"/>
    <col min="7691" max="7692" width="13.42578125" style="192" customWidth="1"/>
    <col min="7693" max="7694" width="11.42578125" style="192" customWidth="1"/>
    <col min="7695" max="7695" width="17.42578125" style="192" customWidth="1"/>
    <col min="7696" max="7696" width="13.28515625" style="192" customWidth="1"/>
    <col min="7697" max="7936" width="11.42578125" style="192"/>
    <col min="7937" max="7937" width="34.28515625" style="192" customWidth="1"/>
    <col min="7938" max="7938" width="15.42578125" style="192" customWidth="1"/>
    <col min="7939" max="7939" width="9.7109375" style="192" customWidth="1"/>
    <col min="7940" max="7940" width="12.42578125" style="192" customWidth="1"/>
    <col min="7941" max="7941" width="13.140625" style="192" customWidth="1"/>
    <col min="7942" max="7942" width="12.5703125" style="192" customWidth="1"/>
    <col min="7943" max="7943" width="13" style="192" customWidth="1"/>
    <col min="7944" max="7944" width="14.28515625" style="192" customWidth="1"/>
    <col min="7945" max="7945" width="17.140625" style="192" customWidth="1"/>
    <col min="7946" max="7946" width="14" style="192" customWidth="1"/>
    <col min="7947" max="7948" width="13.42578125" style="192" customWidth="1"/>
    <col min="7949" max="7950" width="11.42578125" style="192" customWidth="1"/>
    <col min="7951" max="7951" width="17.42578125" style="192" customWidth="1"/>
    <col min="7952" max="7952" width="13.28515625" style="192" customWidth="1"/>
    <col min="7953" max="8192" width="11.42578125" style="192"/>
    <col min="8193" max="8193" width="34.28515625" style="192" customWidth="1"/>
    <col min="8194" max="8194" width="15.42578125" style="192" customWidth="1"/>
    <col min="8195" max="8195" width="9.7109375" style="192" customWidth="1"/>
    <col min="8196" max="8196" width="12.42578125" style="192" customWidth="1"/>
    <col min="8197" max="8197" width="13.140625" style="192" customWidth="1"/>
    <col min="8198" max="8198" width="12.5703125" style="192" customWidth="1"/>
    <col min="8199" max="8199" width="13" style="192" customWidth="1"/>
    <col min="8200" max="8200" width="14.28515625" style="192" customWidth="1"/>
    <col min="8201" max="8201" width="17.140625" style="192" customWidth="1"/>
    <col min="8202" max="8202" width="14" style="192" customWidth="1"/>
    <col min="8203" max="8204" width="13.42578125" style="192" customWidth="1"/>
    <col min="8205" max="8206" width="11.42578125" style="192" customWidth="1"/>
    <col min="8207" max="8207" width="17.42578125" style="192" customWidth="1"/>
    <col min="8208" max="8208" width="13.28515625" style="192" customWidth="1"/>
    <col min="8209" max="8448" width="11.42578125" style="192"/>
    <col min="8449" max="8449" width="34.28515625" style="192" customWidth="1"/>
    <col min="8450" max="8450" width="15.42578125" style="192" customWidth="1"/>
    <col min="8451" max="8451" width="9.7109375" style="192" customWidth="1"/>
    <col min="8452" max="8452" width="12.42578125" style="192" customWidth="1"/>
    <col min="8453" max="8453" width="13.140625" style="192" customWidth="1"/>
    <col min="8454" max="8454" width="12.5703125" style="192" customWidth="1"/>
    <col min="8455" max="8455" width="13" style="192" customWidth="1"/>
    <col min="8456" max="8456" width="14.28515625" style="192" customWidth="1"/>
    <col min="8457" max="8457" width="17.140625" style="192" customWidth="1"/>
    <col min="8458" max="8458" width="14" style="192" customWidth="1"/>
    <col min="8459" max="8460" width="13.42578125" style="192" customWidth="1"/>
    <col min="8461" max="8462" width="11.42578125" style="192" customWidth="1"/>
    <col min="8463" max="8463" width="17.42578125" style="192" customWidth="1"/>
    <col min="8464" max="8464" width="13.28515625" style="192" customWidth="1"/>
    <col min="8465" max="8704" width="11.42578125" style="192"/>
    <col min="8705" max="8705" width="34.28515625" style="192" customWidth="1"/>
    <col min="8706" max="8706" width="15.42578125" style="192" customWidth="1"/>
    <col min="8707" max="8707" width="9.7109375" style="192" customWidth="1"/>
    <col min="8708" max="8708" width="12.42578125" style="192" customWidth="1"/>
    <col min="8709" max="8709" width="13.140625" style="192" customWidth="1"/>
    <col min="8710" max="8710" width="12.5703125" style="192" customWidth="1"/>
    <col min="8711" max="8711" width="13" style="192" customWidth="1"/>
    <col min="8712" max="8712" width="14.28515625" style="192" customWidth="1"/>
    <col min="8713" max="8713" width="17.140625" style="192" customWidth="1"/>
    <col min="8714" max="8714" width="14" style="192" customWidth="1"/>
    <col min="8715" max="8716" width="13.42578125" style="192" customWidth="1"/>
    <col min="8717" max="8718" width="11.42578125" style="192" customWidth="1"/>
    <col min="8719" max="8719" width="17.42578125" style="192" customWidth="1"/>
    <col min="8720" max="8720" width="13.28515625" style="192" customWidth="1"/>
    <col min="8721" max="8960" width="11.42578125" style="192"/>
    <col min="8961" max="8961" width="34.28515625" style="192" customWidth="1"/>
    <col min="8962" max="8962" width="15.42578125" style="192" customWidth="1"/>
    <col min="8963" max="8963" width="9.7109375" style="192" customWidth="1"/>
    <col min="8964" max="8964" width="12.42578125" style="192" customWidth="1"/>
    <col min="8965" max="8965" width="13.140625" style="192" customWidth="1"/>
    <col min="8966" max="8966" width="12.5703125" style="192" customWidth="1"/>
    <col min="8967" max="8967" width="13" style="192" customWidth="1"/>
    <col min="8968" max="8968" width="14.28515625" style="192" customWidth="1"/>
    <col min="8969" max="8969" width="17.140625" style="192" customWidth="1"/>
    <col min="8970" max="8970" width="14" style="192" customWidth="1"/>
    <col min="8971" max="8972" width="13.42578125" style="192" customWidth="1"/>
    <col min="8973" max="8974" width="11.42578125" style="192" customWidth="1"/>
    <col min="8975" max="8975" width="17.42578125" style="192" customWidth="1"/>
    <col min="8976" max="8976" width="13.28515625" style="192" customWidth="1"/>
    <col min="8977" max="9216" width="11.42578125" style="192"/>
    <col min="9217" max="9217" width="34.28515625" style="192" customWidth="1"/>
    <col min="9218" max="9218" width="15.42578125" style="192" customWidth="1"/>
    <col min="9219" max="9219" width="9.7109375" style="192" customWidth="1"/>
    <col min="9220" max="9220" width="12.42578125" style="192" customWidth="1"/>
    <col min="9221" max="9221" width="13.140625" style="192" customWidth="1"/>
    <col min="9222" max="9222" width="12.5703125" style="192" customWidth="1"/>
    <col min="9223" max="9223" width="13" style="192" customWidth="1"/>
    <col min="9224" max="9224" width="14.28515625" style="192" customWidth="1"/>
    <col min="9225" max="9225" width="17.140625" style="192" customWidth="1"/>
    <col min="9226" max="9226" width="14" style="192" customWidth="1"/>
    <col min="9227" max="9228" width="13.42578125" style="192" customWidth="1"/>
    <col min="9229" max="9230" width="11.42578125" style="192" customWidth="1"/>
    <col min="9231" max="9231" width="17.42578125" style="192" customWidth="1"/>
    <col min="9232" max="9232" width="13.28515625" style="192" customWidth="1"/>
    <col min="9233" max="9472" width="11.42578125" style="192"/>
    <col min="9473" max="9473" width="34.28515625" style="192" customWidth="1"/>
    <col min="9474" max="9474" width="15.42578125" style="192" customWidth="1"/>
    <col min="9475" max="9475" width="9.7109375" style="192" customWidth="1"/>
    <col min="9476" max="9476" width="12.42578125" style="192" customWidth="1"/>
    <col min="9477" max="9477" width="13.140625" style="192" customWidth="1"/>
    <col min="9478" max="9478" width="12.5703125" style="192" customWidth="1"/>
    <col min="9479" max="9479" width="13" style="192" customWidth="1"/>
    <col min="9480" max="9480" width="14.28515625" style="192" customWidth="1"/>
    <col min="9481" max="9481" width="17.140625" style="192" customWidth="1"/>
    <col min="9482" max="9482" width="14" style="192" customWidth="1"/>
    <col min="9483" max="9484" width="13.42578125" style="192" customWidth="1"/>
    <col min="9485" max="9486" width="11.42578125" style="192" customWidth="1"/>
    <col min="9487" max="9487" width="17.42578125" style="192" customWidth="1"/>
    <col min="9488" max="9488" width="13.28515625" style="192" customWidth="1"/>
    <col min="9489" max="9728" width="11.42578125" style="192"/>
    <col min="9729" max="9729" width="34.28515625" style="192" customWidth="1"/>
    <col min="9730" max="9730" width="15.42578125" style="192" customWidth="1"/>
    <col min="9731" max="9731" width="9.7109375" style="192" customWidth="1"/>
    <col min="9732" max="9732" width="12.42578125" style="192" customWidth="1"/>
    <col min="9733" max="9733" width="13.140625" style="192" customWidth="1"/>
    <col min="9734" max="9734" width="12.5703125" style="192" customWidth="1"/>
    <col min="9735" max="9735" width="13" style="192" customWidth="1"/>
    <col min="9736" max="9736" width="14.28515625" style="192" customWidth="1"/>
    <col min="9737" max="9737" width="17.140625" style="192" customWidth="1"/>
    <col min="9738" max="9738" width="14" style="192" customWidth="1"/>
    <col min="9739" max="9740" width="13.42578125" style="192" customWidth="1"/>
    <col min="9741" max="9742" width="11.42578125" style="192" customWidth="1"/>
    <col min="9743" max="9743" width="17.42578125" style="192" customWidth="1"/>
    <col min="9744" max="9744" width="13.28515625" style="192" customWidth="1"/>
    <col min="9745" max="9984" width="11.42578125" style="192"/>
    <col min="9985" max="9985" width="34.28515625" style="192" customWidth="1"/>
    <col min="9986" max="9986" width="15.42578125" style="192" customWidth="1"/>
    <col min="9987" max="9987" width="9.7109375" style="192" customWidth="1"/>
    <col min="9988" max="9988" width="12.42578125" style="192" customWidth="1"/>
    <col min="9989" max="9989" width="13.140625" style="192" customWidth="1"/>
    <col min="9990" max="9990" width="12.5703125" style="192" customWidth="1"/>
    <col min="9991" max="9991" width="13" style="192" customWidth="1"/>
    <col min="9992" max="9992" width="14.28515625" style="192" customWidth="1"/>
    <col min="9993" max="9993" width="17.140625" style="192" customWidth="1"/>
    <col min="9994" max="9994" width="14" style="192" customWidth="1"/>
    <col min="9995" max="9996" width="13.42578125" style="192" customWidth="1"/>
    <col min="9997" max="9998" width="11.42578125" style="192" customWidth="1"/>
    <col min="9999" max="9999" width="17.42578125" style="192" customWidth="1"/>
    <col min="10000" max="10000" width="13.28515625" style="192" customWidth="1"/>
    <col min="10001" max="10240" width="11.42578125" style="192"/>
    <col min="10241" max="10241" width="34.28515625" style="192" customWidth="1"/>
    <col min="10242" max="10242" width="15.42578125" style="192" customWidth="1"/>
    <col min="10243" max="10243" width="9.7109375" style="192" customWidth="1"/>
    <col min="10244" max="10244" width="12.42578125" style="192" customWidth="1"/>
    <col min="10245" max="10245" width="13.140625" style="192" customWidth="1"/>
    <col min="10246" max="10246" width="12.5703125" style="192" customWidth="1"/>
    <col min="10247" max="10247" width="13" style="192" customWidth="1"/>
    <col min="10248" max="10248" width="14.28515625" style="192" customWidth="1"/>
    <col min="10249" max="10249" width="17.140625" style="192" customWidth="1"/>
    <col min="10250" max="10250" width="14" style="192" customWidth="1"/>
    <col min="10251" max="10252" width="13.42578125" style="192" customWidth="1"/>
    <col min="10253" max="10254" width="11.42578125" style="192" customWidth="1"/>
    <col min="10255" max="10255" width="17.42578125" style="192" customWidth="1"/>
    <col min="10256" max="10256" width="13.28515625" style="192" customWidth="1"/>
    <col min="10257" max="10496" width="11.42578125" style="192"/>
    <col min="10497" max="10497" width="34.28515625" style="192" customWidth="1"/>
    <col min="10498" max="10498" width="15.42578125" style="192" customWidth="1"/>
    <col min="10499" max="10499" width="9.7109375" style="192" customWidth="1"/>
    <col min="10500" max="10500" width="12.42578125" style="192" customWidth="1"/>
    <col min="10501" max="10501" width="13.140625" style="192" customWidth="1"/>
    <col min="10502" max="10502" width="12.5703125" style="192" customWidth="1"/>
    <col min="10503" max="10503" width="13" style="192" customWidth="1"/>
    <col min="10504" max="10504" width="14.28515625" style="192" customWidth="1"/>
    <col min="10505" max="10505" width="17.140625" style="192" customWidth="1"/>
    <col min="10506" max="10506" width="14" style="192" customWidth="1"/>
    <col min="10507" max="10508" width="13.42578125" style="192" customWidth="1"/>
    <col min="10509" max="10510" width="11.42578125" style="192" customWidth="1"/>
    <col min="10511" max="10511" width="17.42578125" style="192" customWidth="1"/>
    <col min="10512" max="10512" width="13.28515625" style="192" customWidth="1"/>
    <col min="10513" max="10752" width="11.42578125" style="192"/>
    <col min="10753" max="10753" width="34.28515625" style="192" customWidth="1"/>
    <col min="10754" max="10754" width="15.42578125" style="192" customWidth="1"/>
    <col min="10755" max="10755" width="9.7109375" style="192" customWidth="1"/>
    <col min="10756" max="10756" width="12.42578125" style="192" customWidth="1"/>
    <col min="10757" max="10757" width="13.140625" style="192" customWidth="1"/>
    <col min="10758" max="10758" width="12.5703125" style="192" customWidth="1"/>
    <col min="10759" max="10759" width="13" style="192" customWidth="1"/>
    <col min="10760" max="10760" width="14.28515625" style="192" customWidth="1"/>
    <col min="10761" max="10761" width="17.140625" style="192" customWidth="1"/>
    <col min="10762" max="10762" width="14" style="192" customWidth="1"/>
    <col min="10763" max="10764" width="13.42578125" style="192" customWidth="1"/>
    <col min="10765" max="10766" width="11.42578125" style="192" customWidth="1"/>
    <col min="10767" max="10767" width="17.42578125" style="192" customWidth="1"/>
    <col min="10768" max="10768" width="13.28515625" style="192" customWidth="1"/>
    <col min="10769" max="11008" width="11.42578125" style="192"/>
    <col min="11009" max="11009" width="34.28515625" style="192" customWidth="1"/>
    <col min="11010" max="11010" width="15.42578125" style="192" customWidth="1"/>
    <col min="11011" max="11011" width="9.7109375" style="192" customWidth="1"/>
    <col min="11012" max="11012" width="12.42578125" style="192" customWidth="1"/>
    <col min="11013" max="11013" width="13.140625" style="192" customWidth="1"/>
    <col min="11014" max="11014" width="12.5703125" style="192" customWidth="1"/>
    <col min="11015" max="11015" width="13" style="192" customWidth="1"/>
    <col min="11016" max="11016" width="14.28515625" style="192" customWidth="1"/>
    <col min="11017" max="11017" width="17.140625" style="192" customWidth="1"/>
    <col min="11018" max="11018" width="14" style="192" customWidth="1"/>
    <col min="11019" max="11020" width="13.42578125" style="192" customWidth="1"/>
    <col min="11021" max="11022" width="11.42578125" style="192" customWidth="1"/>
    <col min="11023" max="11023" width="17.42578125" style="192" customWidth="1"/>
    <col min="11024" max="11024" width="13.28515625" style="192" customWidth="1"/>
    <col min="11025" max="11264" width="11.42578125" style="192"/>
    <col min="11265" max="11265" width="34.28515625" style="192" customWidth="1"/>
    <col min="11266" max="11266" width="15.42578125" style="192" customWidth="1"/>
    <col min="11267" max="11267" width="9.7109375" style="192" customWidth="1"/>
    <col min="11268" max="11268" width="12.42578125" style="192" customWidth="1"/>
    <col min="11269" max="11269" width="13.140625" style="192" customWidth="1"/>
    <col min="11270" max="11270" width="12.5703125" style="192" customWidth="1"/>
    <col min="11271" max="11271" width="13" style="192" customWidth="1"/>
    <col min="11272" max="11272" width="14.28515625" style="192" customWidth="1"/>
    <col min="11273" max="11273" width="17.140625" style="192" customWidth="1"/>
    <col min="11274" max="11274" width="14" style="192" customWidth="1"/>
    <col min="11275" max="11276" width="13.42578125" style="192" customWidth="1"/>
    <col min="11277" max="11278" width="11.42578125" style="192" customWidth="1"/>
    <col min="11279" max="11279" width="17.42578125" style="192" customWidth="1"/>
    <col min="11280" max="11280" width="13.28515625" style="192" customWidth="1"/>
    <col min="11281" max="11520" width="11.42578125" style="192"/>
    <col min="11521" max="11521" width="34.28515625" style="192" customWidth="1"/>
    <col min="11522" max="11522" width="15.42578125" style="192" customWidth="1"/>
    <col min="11523" max="11523" width="9.7109375" style="192" customWidth="1"/>
    <col min="11524" max="11524" width="12.42578125" style="192" customWidth="1"/>
    <col min="11525" max="11525" width="13.140625" style="192" customWidth="1"/>
    <col min="11526" max="11526" width="12.5703125" style="192" customWidth="1"/>
    <col min="11527" max="11527" width="13" style="192" customWidth="1"/>
    <col min="11528" max="11528" width="14.28515625" style="192" customWidth="1"/>
    <col min="11529" max="11529" width="17.140625" style="192" customWidth="1"/>
    <col min="11530" max="11530" width="14" style="192" customWidth="1"/>
    <col min="11531" max="11532" width="13.42578125" style="192" customWidth="1"/>
    <col min="11533" max="11534" width="11.42578125" style="192" customWidth="1"/>
    <col min="11535" max="11535" width="17.42578125" style="192" customWidth="1"/>
    <col min="11536" max="11536" width="13.28515625" style="192" customWidth="1"/>
    <col min="11537" max="11776" width="11.42578125" style="192"/>
    <col min="11777" max="11777" width="34.28515625" style="192" customWidth="1"/>
    <col min="11778" max="11778" width="15.42578125" style="192" customWidth="1"/>
    <col min="11779" max="11779" width="9.7109375" style="192" customWidth="1"/>
    <col min="11780" max="11780" width="12.42578125" style="192" customWidth="1"/>
    <col min="11781" max="11781" width="13.140625" style="192" customWidth="1"/>
    <col min="11782" max="11782" width="12.5703125" style="192" customWidth="1"/>
    <col min="11783" max="11783" width="13" style="192" customWidth="1"/>
    <col min="11784" max="11784" width="14.28515625" style="192" customWidth="1"/>
    <col min="11785" max="11785" width="17.140625" style="192" customWidth="1"/>
    <col min="11786" max="11786" width="14" style="192" customWidth="1"/>
    <col min="11787" max="11788" width="13.42578125" style="192" customWidth="1"/>
    <col min="11789" max="11790" width="11.42578125" style="192" customWidth="1"/>
    <col min="11791" max="11791" width="17.42578125" style="192" customWidth="1"/>
    <col min="11792" max="11792" width="13.28515625" style="192" customWidth="1"/>
    <col min="11793" max="12032" width="11.42578125" style="192"/>
    <col min="12033" max="12033" width="34.28515625" style="192" customWidth="1"/>
    <col min="12034" max="12034" width="15.42578125" style="192" customWidth="1"/>
    <col min="12035" max="12035" width="9.7109375" style="192" customWidth="1"/>
    <col min="12036" max="12036" width="12.42578125" style="192" customWidth="1"/>
    <col min="12037" max="12037" width="13.140625" style="192" customWidth="1"/>
    <col min="12038" max="12038" width="12.5703125" style="192" customWidth="1"/>
    <col min="12039" max="12039" width="13" style="192" customWidth="1"/>
    <col min="12040" max="12040" width="14.28515625" style="192" customWidth="1"/>
    <col min="12041" max="12041" width="17.140625" style="192" customWidth="1"/>
    <col min="12042" max="12042" width="14" style="192" customWidth="1"/>
    <col min="12043" max="12044" width="13.42578125" style="192" customWidth="1"/>
    <col min="12045" max="12046" width="11.42578125" style="192" customWidth="1"/>
    <col min="12047" max="12047" width="17.42578125" style="192" customWidth="1"/>
    <col min="12048" max="12048" width="13.28515625" style="192" customWidth="1"/>
    <col min="12049" max="12288" width="11.42578125" style="192"/>
    <col min="12289" max="12289" width="34.28515625" style="192" customWidth="1"/>
    <col min="12290" max="12290" width="15.42578125" style="192" customWidth="1"/>
    <col min="12291" max="12291" width="9.7109375" style="192" customWidth="1"/>
    <col min="12292" max="12292" width="12.42578125" style="192" customWidth="1"/>
    <col min="12293" max="12293" width="13.140625" style="192" customWidth="1"/>
    <col min="12294" max="12294" width="12.5703125" style="192" customWidth="1"/>
    <col min="12295" max="12295" width="13" style="192" customWidth="1"/>
    <col min="12296" max="12296" width="14.28515625" style="192" customWidth="1"/>
    <col min="12297" max="12297" width="17.140625" style="192" customWidth="1"/>
    <col min="12298" max="12298" width="14" style="192" customWidth="1"/>
    <col min="12299" max="12300" width="13.42578125" style="192" customWidth="1"/>
    <col min="12301" max="12302" width="11.42578125" style="192" customWidth="1"/>
    <col min="12303" max="12303" width="17.42578125" style="192" customWidth="1"/>
    <col min="12304" max="12304" width="13.28515625" style="192" customWidth="1"/>
    <col min="12305" max="12544" width="11.42578125" style="192"/>
    <col min="12545" max="12545" width="34.28515625" style="192" customWidth="1"/>
    <col min="12546" max="12546" width="15.42578125" style="192" customWidth="1"/>
    <col min="12547" max="12547" width="9.7109375" style="192" customWidth="1"/>
    <col min="12548" max="12548" width="12.42578125" style="192" customWidth="1"/>
    <col min="12549" max="12549" width="13.140625" style="192" customWidth="1"/>
    <col min="12550" max="12550" width="12.5703125" style="192" customWidth="1"/>
    <col min="12551" max="12551" width="13" style="192" customWidth="1"/>
    <col min="12552" max="12552" width="14.28515625" style="192" customWidth="1"/>
    <col min="12553" max="12553" width="17.140625" style="192" customWidth="1"/>
    <col min="12554" max="12554" width="14" style="192" customWidth="1"/>
    <col min="12555" max="12556" width="13.42578125" style="192" customWidth="1"/>
    <col min="12557" max="12558" width="11.42578125" style="192" customWidth="1"/>
    <col min="12559" max="12559" width="17.42578125" style="192" customWidth="1"/>
    <col min="12560" max="12560" width="13.28515625" style="192" customWidth="1"/>
    <col min="12561" max="12800" width="11.42578125" style="192"/>
    <col min="12801" max="12801" width="34.28515625" style="192" customWidth="1"/>
    <col min="12802" max="12802" width="15.42578125" style="192" customWidth="1"/>
    <col min="12803" max="12803" width="9.7109375" style="192" customWidth="1"/>
    <col min="12804" max="12804" width="12.42578125" style="192" customWidth="1"/>
    <col min="12805" max="12805" width="13.140625" style="192" customWidth="1"/>
    <col min="12806" max="12806" width="12.5703125" style="192" customWidth="1"/>
    <col min="12807" max="12807" width="13" style="192" customWidth="1"/>
    <col min="12808" max="12808" width="14.28515625" style="192" customWidth="1"/>
    <col min="12809" max="12809" width="17.140625" style="192" customWidth="1"/>
    <col min="12810" max="12810" width="14" style="192" customWidth="1"/>
    <col min="12811" max="12812" width="13.42578125" style="192" customWidth="1"/>
    <col min="12813" max="12814" width="11.42578125" style="192" customWidth="1"/>
    <col min="12815" max="12815" width="17.42578125" style="192" customWidth="1"/>
    <col min="12816" max="12816" width="13.28515625" style="192" customWidth="1"/>
    <col min="12817" max="13056" width="11.42578125" style="192"/>
    <col min="13057" max="13057" width="34.28515625" style="192" customWidth="1"/>
    <col min="13058" max="13058" width="15.42578125" style="192" customWidth="1"/>
    <col min="13059" max="13059" width="9.7109375" style="192" customWidth="1"/>
    <col min="13060" max="13060" width="12.42578125" style="192" customWidth="1"/>
    <col min="13061" max="13061" width="13.140625" style="192" customWidth="1"/>
    <col min="13062" max="13062" width="12.5703125" style="192" customWidth="1"/>
    <col min="13063" max="13063" width="13" style="192" customWidth="1"/>
    <col min="13064" max="13064" width="14.28515625" style="192" customWidth="1"/>
    <col min="13065" max="13065" width="17.140625" style="192" customWidth="1"/>
    <col min="13066" max="13066" width="14" style="192" customWidth="1"/>
    <col min="13067" max="13068" width="13.42578125" style="192" customWidth="1"/>
    <col min="13069" max="13070" width="11.42578125" style="192" customWidth="1"/>
    <col min="13071" max="13071" width="17.42578125" style="192" customWidth="1"/>
    <col min="13072" max="13072" width="13.28515625" style="192" customWidth="1"/>
    <col min="13073" max="13312" width="11.42578125" style="192"/>
    <col min="13313" max="13313" width="34.28515625" style="192" customWidth="1"/>
    <col min="13314" max="13314" width="15.42578125" style="192" customWidth="1"/>
    <col min="13315" max="13315" width="9.7109375" style="192" customWidth="1"/>
    <col min="13316" max="13316" width="12.42578125" style="192" customWidth="1"/>
    <col min="13317" max="13317" width="13.140625" style="192" customWidth="1"/>
    <col min="13318" max="13318" width="12.5703125" style="192" customWidth="1"/>
    <col min="13319" max="13319" width="13" style="192" customWidth="1"/>
    <col min="13320" max="13320" width="14.28515625" style="192" customWidth="1"/>
    <col min="13321" max="13321" width="17.140625" style="192" customWidth="1"/>
    <col min="13322" max="13322" width="14" style="192" customWidth="1"/>
    <col min="13323" max="13324" width="13.42578125" style="192" customWidth="1"/>
    <col min="13325" max="13326" width="11.42578125" style="192" customWidth="1"/>
    <col min="13327" max="13327" width="17.42578125" style="192" customWidth="1"/>
    <col min="13328" max="13328" width="13.28515625" style="192" customWidth="1"/>
    <col min="13329" max="13568" width="11.42578125" style="192"/>
    <col min="13569" max="13569" width="34.28515625" style="192" customWidth="1"/>
    <col min="13570" max="13570" width="15.42578125" style="192" customWidth="1"/>
    <col min="13571" max="13571" width="9.7109375" style="192" customWidth="1"/>
    <col min="13572" max="13572" width="12.42578125" style="192" customWidth="1"/>
    <col min="13573" max="13573" width="13.140625" style="192" customWidth="1"/>
    <col min="13574" max="13574" width="12.5703125" style="192" customWidth="1"/>
    <col min="13575" max="13575" width="13" style="192" customWidth="1"/>
    <col min="13576" max="13576" width="14.28515625" style="192" customWidth="1"/>
    <col min="13577" max="13577" width="17.140625" style="192" customWidth="1"/>
    <col min="13578" max="13578" width="14" style="192" customWidth="1"/>
    <col min="13579" max="13580" width="13.42578125" style="192" customWidth="1"/>
    <col min="13581" max="13582" width="11.42578125" style="192" customWidth="1"/>
    <col min="13583" max="13583" width="17.42578125" style="192" customWidth="1"/>
    <col min="13584" max="13584" width="13.28515625" style="192" customWidth="1"/>
    <col min="13585" max="13824" width="11.42578125" style="192"/>
    <col min="13825" max="13825" width="34.28515625" style="192" customWidth="1"/>
    <col min="13826" max="13826" width="15.42578125" style="192" customWidth="1"/>
    <col min="13827" max="13827" width="9.7109375" style="192" customWidth="1"/>
    <col min="13828" max="13828" width="12.42578125" style="192" customWidth="1"/>
    <col min="13829" max="13829" width="13.140625" style="192" customWidth="1"/>
    <col min="13830" max="13830" width="12.5703125" style="192" customWidth="1"/>
    <col min="13831" max="13831" width="13" style="192" customWidth="1"/>
    <col min="13832" max="13832" width="14.28515625" style="192" customWidth="1"/>
    <col min="13833" max="13833" width="17.140625" style="192" customWidth="1"/>
    <col min="13834" max="13834" width="14" style="192" customWidth="1"/>
    <col min="13835" max="13836" width="13.42578125" style="192" customWidth="1"/>
    <col min="13837" max="13838" width="11.42578125" style="192" customWidth="1"/>
    <col min="13839" max="13839" width="17.42578125" style="192" customWidth="1"/>
    <col min="13840" max="13840" width="13.28515625" style="192" customWidth="1"/>
    <col min="13841" max="14080" width="11.42578125" style="192"/>
    <col min="14081" max="14081" width="34.28515625" style="192" customWidth="1"/>
    <col min="14082" max="14082" width="15.42578125" style="192" customWidth="1"/>
    <col min="14083" max="14083" width="9.7109375" style="192" customWidth="1"/>
    <col min="14084" max="14084" width="12.42578125" style="192" customWidth="1"/>
    <col min="14085" max="14085" width="13.140625" style="192" customWidth="1"/>
    <col min="14086" max="14086" width="12.5703125" style="192" customWidth="1"/>
    <col min="14087" max="14087" width="13" style="192" customWidth="1"/>
    <col min="14088" max="14088" width="14.28515625" style="192" customWidth="1"/>
    <col min="14089" max="14089" width="17.140625" style="192" customWidth="1"/>
    <col min="14090" max="14090" width="14" style="192" customWidth="1"/>
    <col min="14091" max="14092" width="13.42578125" style="192" customWidth="1"/>
    <col min="14093" max="14094" width="11.42578125" style="192" customWidth="1"/>
    <col min="14095" max="14095" width="17.42578125" style="192" customWidth="1"/>
    <col min="14096" max="14096" width="13.28515625" style="192" customWidth="1"/>
    <col min="14097" max="14336" width="11.42578125" style="192"/>
    <col min="14337" max="14337" width="34.28515625" style="192" customWidth="1"/>
    <col min="14338" max="14338" width="15.42578125" style="192" customWidth="1"/>
    <col min="14339" max="14339" width="9.7109375" style="192" customWidth="1"/>
    <col min="14340" max="14340" width="12.42578125" style="192" customWidth="1"/>
    <col min="14341" max="14341" width="13.140625" style="192" customWidth="1"/>
    <col min="14342" max="14342" width="12.5703125" style="192" customWidth="1"/>
    <col min="14343" max="14343" width="13" style="192" customWidth="1"/>
    <col min="14344" max="14344" width="14.28515625" style="192" customWidth="1"/>
    <col min="14345" max="14345" width="17.140625" style="192" customWidth="1"/>
    <col min="14346" max="14346" width="14" style="192" customWidth="1"/>
    <col min="14347" max="14348" width="13.42578125" style="192" customWidth="1"/>
    <col min="14349" max="14350" width="11.42578125" style="192" customWidth="1"/>
    <col min="14351" max="14351" width="17.42578125" style="192" customWidth="1"/>
    <col min="14352" max="14352" width="13.28515625" style="192" customWidth="1"/>
    <col min="14353" max="14592" width="11.42578125" style="192"/>
    <col min="14593" max="14593" width="34.28515625" style="192" customWidth="1"/>
    <col min="14594" max="14594" width="15.42578125" style="192" customWidth="1"/>
    <col min="14595" max="14595" width="9.7109375" style="192" customWidth="1"/>
    <col min="14596" max="14596" width="12.42578125" style="192" customWidth="1"/>
    <col min="14597" max="14597" width="13.140625" style="192" customWidth="1"/>
    <col min="14598" max="14598" width="12.5703125" style="192" customWidth="1"/>
    <col min="14599" max="14599" width="13" style="192" customWidth="1"/>
    <col min="14600" max="14600" width="14.28515625" style="192" customWidth="1"/>
    <col min="14601" max="14601" width="17.140625" style="192" customWidth="1"/>
    <col min="14602" max="14602" width="14" style="192" customWidth="1"/>
    <col min="14603" max="14604" width="13.42578125" style="192" customWidth="1"/>
    <col min="14605" max="14606" width="11.42578125" style="192" customWidth="1"/>
    <col min="14607" max="14607" width="17.42578125" style="192" customWidth="1"/>
    <col min="14608" max="14608" width="13.28515625" style="192" customWidth="1"/>
    <col min="14609" max="14848" width="11.42578125" style="192"/>
    <col min="14849" max="14849" width="34.28515625" style="192" customWidth="1"/>
    <col min="14850" max="14850" width="15.42578125" style="192" customWidth="1"/>
    <col min="14851" max="14851" width="9.7109375" style="192" customWidth="1"/>
    <col min="14852" max="14852" width="12.42578125" style="192" customWidth="1"/>
    <col min="14853" max="14853" width="13.140625" style="192" customWidth="1"/>
    <col min="14854" max="14854" width="12.5703125" style="192" customWidth="1"/>
    <col min="14855" max="14855" width="13" style="192" customWidth="1"/>
    <col min="14856" max="14856" width="14.28515625" style="192" customWidth="1"/>
    <col min="14857" max="14857" width="17.140625" style="192" customWidth="1"/>
    <col min="14858" max="14858" width="14" style="192" customWidth="1"/>
    <col min="14859" max="14860" width="13.42578125" style="192" customWidth="1"/>
    <col min="14861" max="14862" width="11.42578125" style="192" customWidth="1"/>
    <col min="14863" max="14863" width="17.42578125" style="192" customWidth="1"/>
    <col min="14864" max="14864" width="13.28515625" style="192" customWidth="1"/>
    <col min="14865" max="15104" width="11.42578125" style="192"/>
    <col min="15105" max="15105" width="34.28515625" style="192" customWidth="1"/>
    <col min="15106" max="15106" width="15.42578125" style="192" customWidth="1"/>
    <col min="15107" max="15107" width="9.7109375" style="192" customWidth="1"/>
    <col min="15108" max="15108" width="12.42578125" style="192" customWidth="1"/>
    <col min="15109" max="15109" width="13.140625" style="192" customWidth="1"/>
    <col min="15110" max="15110" width="12.5703125" style="192" customWidth="1"/>
    <col min="15111" max="15111" width="13" style="192" customWidth="1"/>
    <col min="15112" max="15112" width="14.28515625" style="192" customWidth="1"/>
    <col min="15113" max="15113" width="17.140625" style="192" customWidth="1"/>
    <col min="15114" max="15114" width="14" style="192" customWidth="1"/>
    <col min="15115" max="15116" width="13.42578125" style="192" customWidth="1"/>
    <col min="15117" max="15118" width="11.42578125" style="192" customWidth="1"/>
    <col min="15119" max="15119" width="17.42578125" style="192" customWidth="1"/>
    <col min="15120" max="15120" width="13.28515625" style="192" customWidth="1"/>
    <col min="15121" max="15360" width="11.42578125" style="192"/>
    <col min="15361" max="15361" width="34.28515625" style="192" customWidth="1"/>
    <col min="15362" max="15362" width="15.42578125" style="192" customWidth="1"/>
    <col min="15363" max="15363" width="9.7109375" style="192" customWidth="1"/>
    <col min="15364" max="15364" width="12.42578125" style="192" customWidth="1"/>
    <col min="15365" max="15365" width="13.140625" style="192" customWidth="1"/>
    <col min="15366" max="15366" width="12.5703125" style="192" customWidth="1"/>
    <col min="15367" max="15367" width="13" style="192" customWidth="1"/>
    <col min="15368" max="15368" width="14.28515625" style="192" customWidth="1"/>
    <col min="15369" max="15369" width="17.140625" style="192" customWidth="1"/>
    <col min="15370" max="15370" width="14" style="192" customWidth="1"/>
    <col min="15371" max="15372" width="13.42578125" style="192" customWidth="1"/>
    <col min="15373" max="15374" width="11.42578125" style="192" customWidth="1"/>
    <col min="15375" max="15375" width="17.42578125" style="192" customWidth="1"/>
    <col min="15376" max="15376" width="13.28515625" style="192" customWidth="1"/>
    <col min="15377" max="15616" width="11.42578125" style="192"/>
    <col min="15617" max="15617" width="34.28515625" style="192" customWidth="1"/>
    <col min="15618" max="15618" width="15.42578125" style="192" customWidth="1"/>
    <col min="15619" max="15619" width="9.7109375" style="192" customWidth="1"/>
    <col min="15620" max="15620" width="12.42578125" style="192" customWidth="1"/>
    <col min="15621" max="15621" width="13.140625" style="192" customWidth="1"/>
    <col min="15622" max="15622" width="12.5703125" style="192" customWidth="1"/>
    <col min="15623" max="15623" width="13" style="192" customWidth="1"/>
    <col min="15624" max="15624" width="14.28515625" style="192" customWidth="1"/>
    <col min="15625" max="15625" width="17.140625" style="192" customWidth="1"/>
    <col min="15626" max="15626" width="14" style="192" customWidth="1"/>
    <col min="15627" max="15628" width="13.42578125" style="192" customWidth="1"/>
    <col min="15629" max="15630" width="11.42578125" style="192" customWidth="1"/>
    <col min="15631" max="15631" width="17.42578125" style="192" customWidth="1"/>
    <col min="15632" max="15632" width="13.28515625" style="192" customWidth="1"/>
    <col min="15633" max="15872" width="11.42578125" style="192"/>
    <col min="15873" max="15873" width="34.28515625" style="192" customWidth="1"/>
    <col min="15874" max="15874" width="15.42578125" style="192" customWidth="1"/>
    <col min="15875" max="15875" width="9.7109375" style="192" customWidth="1"/>
    <col min="15876" max="15876" width="12.42578125" style="192" customWidth="1"/>
    <col min="15877" max="15877" width="13.140625" style="192" customWidth="1"/>
    <col min="15878" max="15878" width="12.5703125" style="192" customWidth="1"/>
    <col min="15879" max="15879" width="13" style="192" customWidth="1"/>
    <col min="15880" max="15880" width="14.28515625" style="192" customWidth="1"/>
    <col min="15881" max="15881" width="17.140625" style="192" customWidth="1"/>
    <col min="15882" max="15882" width="14" style="192" customWidth="1"/>
    <col min="15883" max="15884" width="13.42578125" style="192" customWidth="1"/>
    <col min="15885" max="15886" width="11.42578125" style="192" customWidth="1"/>
    <col min="15887" max="15887" width="17.42578125" style="192" customWidth="1"/>
    <col min="15888" max="15888" width="13.28515625" style="192" customWidth="1"/>
    <col min="15889" max="16128" width="11.42578125" style="192"/>
    <col min="16129" max="16129" width="34.28515625" style="192" customWidth="1"/>
    <col min="16130" max="16130" width="15.42578125" style="192" customWidth="1"/>
    <col min="16131" max="16131" width="9.7109375" style="192" customWidth="1"/>
    <col min="16132" max="16132" width="12.42578125" style="192" customWidth="1"/>
    <col min="16133" max="16133" width="13.140625" style="192" customWidth="1"/>
    <col min="16134" max="16134" width="12.5703125" style="192" customWidth="1"/>
    <col min="16135" max="16135" width="13" style="192" customWidth="1"/>
    <col min="16136" max="16136" width="14.28515625" style="192" customWidth="1"/>
    <col min="16137" max="16137" width="17.140625" style="192" customWidth="1"/>
    <col min="16138" max="16138" width="14" style="192" customWidth="1"/>
    <col min="16139" max="16140" width="13.42578125" style="192" customWidth="1"/>
    <col min="16141" max="16142" width="11.42578125" style="192" customWidth="1"/>
    <col min="16143" max="16143" width="17.42578125" style="192" customWidth="1"/>
    <col min="16144" max="16144" width="13.28515625" style="192" customWidth="1"/>
    <col min="16145" max="16384" width="11.42578125" style="192"/>
  </cols>
  <sheetData>
    <row r="1" spans="1:13">
      <c r="A1" s="335"/>
      <c r="B1" s="336" t="s">
        <v>356</v>
      </c>
      <c r="C1" s="337"/>
      <c r="D1" s="337"/>
      <c r="E1" s="337"/>
      <c r="F1" s="337"/>
      <c r="G1" s="337"/>
      <c r="H1" s="337"/>
      <c r="I1" s="337"/>
      <c r="J1" s="338"/>
      <c r="K1" s="329" t="s">
        <v>357</v>
      </c>
      <c r="L1" s="330"/>
    </row>
    <row r="2" spans="1:13">
      <c r="A2" s="335"/>
      <c r="B2" s="339"/>
      <c r="C2" s="340"/>
      <c r="D2" s="340"/>
      <c r="E2" s="340"/>
      <c r="F2" s="340"/>
      <c r="G2" s="340"/>
      <c r="H2" s="340"/>
      <c r="I2" s="340"/>
      <c r="J2" s="341"/>
      <c r="K2" s="331" t="s">
        <v>358</v>
      </c>
      <c r="L2" s="332"/>
    </row>
    <row r="3" spans="1:13" ht="13.5" thickBot="1">
      <c r="A3" s="335"/>
      <c r="B3" s="342"/>
      <c r="C3" s="343"/>
      <c r="D3" s="343"/>
      <c r="E3" s="343"/>
      <c r="F3" s="343"/>
      <c r="G3" s="343"/>
      <c r="H3" s="343"/>
      <c r="I3" s="343"/>
      <c r="J3" s="344"/>
      <c r="K3" s="333" t="s">
        <v>359</v>
      </c>
      <c r="L3" s="334"/>
    </row>
    <row r="4" spans="1:13" s="354" customFormat="1" ht="26.25" customHeight="1">
      <c r="A4" s="353" t="s">
        <v>137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</row>
    <row r="5" spans="1:13" s="207" customFormat="1" ht="26.25" customHeight="1">
      <c r="A5" s="281" t="s">
        <v>44</v>
      </c>
      <c r="B5" s="281" t="s">
        <v>2</v>
      </c>
      <c r="C5" s="282" t="s">
        <v>3</v>
      </c>
      <c r="D5" s="282" t="s">
        <v>4</v>
      </c>
      <c r="E5" s="282" t="s">
        <v>5</v>
      </c>
      <c r="F5" s="282" t="s">
        <v>6</v>
      </c>
      <c r="G5" s="282"/>
      <c r="H5" s="282"/>
      <c r="I5" s="282"/>
      <c r="J5" s="282"/>
      <c r="K5" s="282"/>
      <c r="L5" s="282"/>
    </row>
    <row r="6" spans="1:13" ht="38.25">
      <c r="A6" s="281"/>
      <c r="B6" s="281"/>
      <c r="C6" s="282"/>
      <c r="D6" s="282"/>
      <c r="E6" s="282"/>
      <c r="F6" s="261" t="s">
        <v>7</v>
      </c>
      <c r="G6" s="261" t="s">
        <v>8</v>
      </c>
      <c r="H6" s="261" t="s">
        <v>9</v>
      </c>
      <c r="I6" s="261" t="s">
        <v>10</v>
      </c>
      <c r="J6" s="261" t="s">
        <v>11</v>
      </c>
      <c r="K6" s="261" t="s">
        <v>138</v>
      </c>
      <c r="L6" s="261" t="s">
        <v>13</v>
      </c>
    </row>
    <row r="7" spans="1:13" ht="38.25">
      <c r="A7" s="31" t="s">
        <v>139</v>
      </c>
      <c r="B7" s="33" t="s">
        <v>15</v>
      </c>
      <c r="C7" s="33">
        <v>25</v>
      </c>
      <c r="D7" s="322"/>
      <c r="E7" s="322"/>
      <c r="F7" s="322"/>
      <c r="G7" s="322"/>
      <c r="H7" s="322"/>
      <c r="I7" s="322"/>
      <c r="J7" s="322"/>
      <c r="K7" s="322"/>
      <c r="L7" s="322"/>
      <c r="M7" s="254"/>
    </row>
    <row r="8" spans="1:13" s="253" customFormat="1">
      <c r="A8" s="36" t="s">
        <v>140</v>
      </c>
      <c r="B8" s="38" t="s">
        <v>84</v>
      </c>
      <c r="C8" s="38">
        <v>10</v>
      </c>
      <c r="D8" s="34">
        <f>2800000*1.004</f>
        <v>2811200</v>
      </c>
      <c r="E8" s="34">
        <f>+C8*D8</f>
        <v>28112000</v>
      </c>
      <c r="F8" s="34">
        <f>+E8</f>
        <v>28112000</v>
      </c>
      <c r="G8" s="34"/>
      <c r="H8" s="34"/>
      <c r="I8" s="34"/>
      <c r="J8" s="34"/>
      <c r="K8" s="34"/>
      <c r="L8" s="34"/>
    </row>
    <row r="9" spans="1:13" s="253" customFormat="1">
      <c r="A9" s="36" t="s">
        <v>128</v>
      </c>
      <c r="B9" s="38" t="s">
        <v>84</v>
      </c>
      <c r="C9" s="38">
        <v>10</v>
      </c>
      <c r="D9" s="34">
        <f>2800000*1.004</f>
        <v>2811200</v>
      </c>
      <c r="E9" s="34">
        <f>+C9*D9</f>
        <v>28112000</v>
      </c>
      <c r="F9" s="34">
        <f>+E9</f>
        <v>28112000</v>
      </c>
      <c r="G9" s="34"/>
      <c r="H9" s="34"/>
      <c r="I9" s="34"/>
      <c r="J9" s="34"/>
      <c r="K9" s="34"/>
      <c r="L9" s="34"/>
    </row>
    <row r="10" spans="1:13" s="253" customFormat="1">
      <c r="A10" s="36" t="s">
        <v>141</v>
      </c>
      <c r="B10" s="38" t="s">
        <v>24</v>
      </c>
      <c r="C10" s="38">
        <v>1</v>
      </c>
      <c r="D10" s="34">
        <v>40137200</v>
      </c>
      <c r="E10" s="34">
        <f>+C10*D10</f>
        <v>40137200</v>
      </c>
      <c r="F10" s="34">
        <f>+E10</f>
        <v>40137200</v>
      </c>
      <c r="G10" s="34"/>
      <c r="H10" s="34"/>
      <c r="I10" s="34"/>
      <c r="J10" s="34"/>
      <c r="K10" s="34"/>
      <c r="L10" s="34"/>
    </row>
    <row r="11" spans="1:13" s="253" customFormat="1">
      <c r="A11" s="36" t="s">
        <v>142</v>
      </c>
      <c r="B11" s="38" t="s">
        <v>84</v>
      </c>
      <c r="C11" s="38">
        <v>11</v>
      </c>
      <c r="D11" s="34">
        <v>1000000</v>
      </c>
      <c r="E11" s="34">
        <f>+C11*D11</f>
        <v>11000000</v>
      </c>
      <c r="F11" s="34">
        <f>+E11</f>
        <v>11000000</v>
      </c>
      <c r="G11" s="34"/>
      <c r="H11" s="34"/>
      <c r="I11" s="34"/>
      <c r="J11" s="34"/>
      <c r="K11" s="34"/>
      <c r="L11" s="34"/>
    </row>
    <row r="12" spans="1:13" s="253" customFormat="1" ht="25.5">
      <c r="A12" s="36" t="s">
        <v>143</v>
      </c>
      <c r="B12" s="38" t="s">
        <v>24</v>
      </c>
      <c r="C12" s="38">
        <v>1</v>
      </c>
      <c r="D12" s="34">
        <v>100000000</v>
      </c>
      <c r="E12" s="34">
        <f>+C12*D12</f>
        <v>100000000</v>
      </c>
      <c r="F12" s="34">
        <f>+E12</f>
        <v>100000000</v>
      </c>
      <c r="G12" s="34"/>
      <c r="H12" s="34"/>
      <c r="I12" s="34"/>
      <c r="J12" s="34"/>
      <c r="K12" s="34"/>
      <c r="L12" s="34"/>
    </row>
    <row r="13" spans="1:13" ht="36.75" customHeight="1">
      <c r="A13" s="31" t="s">
        <v>144</v>
      </c>
      <c r="B13" s="33" t="s">
        <v>15</v>
      </c>
      <c r="C13" s="33">
        <v>27</v>
      </c>
      <c r="D13" s="34"/>
      <c r="E13" s="34"/>
      <c r="F13" s="34"/>
      <c r="G13" s="34"/>
      <c r="H13" s="34"/>
      <c r="I13" s="34"/>
      <c r="J13" s="34"/>
      <c r="K13" s="34"/>
      <c r="L13" s="34"/>
      <c r="M13" s="254"/>
    </row>
    <row r="14" spans="1:13" ht="38.25" customHeight="1">
      <c r="A14" s="36" t="s">
        <v>145</v>
      </c>
      <c r="B14" s="38" t="s">
        <v>146</v>
      </c>
      <c r="C14" s="38">
        <v>3</v>
      </c>
      <c r="D14" s="34"/>
      <c r="E14" s="34"/>
      <c r="F14" s="34"/>
      <c r="G14" s="34"/>
      <c r="H14" s="34"/>
      <c r="I14" s="34"/>
      <c r="J14" s="34"/>
      <c r="K14" s="34"/>
      <c r="L14" s="34"/>
      <c r="M14" s="254"/>
    </row>
    <row r="15" spans="1:13">
      <c r="A15" s="36" t="s">
        <v>147</v>
      </c>
      <c r="B15" s="38" t="s">
        <v>84</v>
      </c>
      <c r="C15" s="37">
        <v>11</v>
      </c>
      <c r="D15" s="34">
        <f>1400000*1.004</f>
        <v>1405600</v>
      </c>
      <c r="E15" s="34">
        <f>+C15*D15</f>
        <v>15461600</v>
      </c>
      <c r="F15" s="34">
        <f>+E15</f>
        <v>15461600</v>
      </c>
      <c r="G15" s="34"/>
      <c r="H15" s="34"/>
      <c r="I15" s="34"/>
      <c r="J15" s="34"/>
      <c r="K15" s="34"/>
      <c r="L15" s="34"/>
      <c r="M15" s="254"/>
    </row>
    <row r="16" spans="1:13">
      <c r="A16" s="36" t="s">
        <v>148</v>
      </c>
      <c r="B16" s="38" t="s">
        <v>84</v>
      </c>
      <c r="C16" s="38">
        <v>10</v>
      </c>
      <c r="D16" s="34">
        <f>900000*1.004</f>
        <v>903600</v>
      </c>
      <c r="E16" s="34">
        <f>+C16*D16</f>
        <v>9036000</v>
      </c>
      <c r="F16" s="34">
        <f>+E16</f>
        <v>9036000</v>
      </c>
      <c r="G16" s="34"/>
      <c r="H16" s="34"/>
      <c r="I16" s="34"/>
      <c r="J16" s="34"/>
      <c r="K16" s="34"/>
      <c r="L16" s="34"/>
      <c r="M16" s="254"/>
    </row>
    <row r="17" spans="1:15">
      <c r="A17" s="36" t="s">
        <v>149</v>
      </c>
      <c r="B17" s="38" t="s">
        <v>24</v>
      </c>
      <c r="C17" s="38">
        <v>1</v>
      </c>
      <c r="D17" s="34">
        <f>182008624*1.004</f>
        <v>182736658.49599999</v>
      </c>
      <c r="E17" s="34">
        <f>+C17*D17</f>
        <v>182736658.49599999</v>
      </c>
      <c r="F17" s="34">
        <f>+E17</f>
        <v>182736658.49599999</v>
      </c>
      <c r="G17" s="34"/>
      <c r="H17" s="34"/>
      <c r="I17" s="34"/>
      <c r="J17" s="34"/>
      <c r="K17" s="34"/>
      <c r="L17" s="34"/>
      <c r="M17" s="254"/>
    </row>
    <row r="18" spans="1:15" ht="25.5">
      <c r="A18" s="36" t="s">
        <v>150</v>
      </c>
      <c r="B18" s="38" t="s">
        <v>24</v>
      </c>
      <c r="C18" s="38">
        <v>1</v>
      </c>
      <c r="D18" s="34">
        <v>82765742</v>
      </c>
      <c r="E18" s="34">
        <v>82765741.504000008</v>
      </c>
      <c r="F18" s="34">
        <f>+E18</f>
        <v>82765741.504000008</v>
      </c>
      <c r="G18" s="34"/>
      <c r="H18" s="34"/>
      <c r="I18" s="34"/>
      <c r="J18" s="34"/>
      <c r="K18" s="34"/>
      <c r="L18" s="34"/>
      <c r="M18" s="254"/>
    </row>
    <row r="19" spans="1:15" ht="41.25" customHeight="1">
      <c r="A19" s="65" t="s">
        <v>151</v>
      </c>
      <c r="B19" s="69" t="s">
        <v>152</v>
      </c>
      <c r="C19" s="69">
        <v>1</v>
      </c>
      <c r="D19" s="247"/>
      <c r="E19" s="34"/>
      <c r="F19" s="34"/>
      <c r="G19" s="34"/>
      <c r="H19" s="34"/>
      <c r="I19" s="34"/>
      <c r="J19" s="34"/>
      <c r="K19" s="34"/>
      <c r="L19" s="34"/>
      <c r="M19" s="254"/>
    </row>
    <row r="20" spans="1:15" s="253" customFormat="1">
      <c r="A20" s="36" t="s">
        <v>147</v>
      </c>
      <c r="B20" s="38" t="s">
        <v>84</v>
      </c>
      <c r="C20" s="37">
        <v>11</v>
      </c>
      <c r="D20" s="175">
        <f>2700000*1.004</f>
        <v>2710800</v>
      </c>
      <c r="E20" s="175">
        <f>+C20*D20</f>
        <v>29818800</v>
      </c>
      <c r="F20" s="175">
        <f>+E20</f>
        <v>29818800</v>
      </c>
      <c r="G20" s="175"/>
      <c r="H20" s="175"/>
      <c r="I20" s="175"/>
      <c r="J20" s="175"/>
      <c r="K20" s="175"/>
      <c r="L20" s="34"/>
    </row>
    <row r="21" spans="1:15" s="253" customFormat="1" ht="12.75" customHeight="1">
      <c r="A21" s="36" t="s">
        <v>153</v>
      </c>
      <c r="B21" s="37" t="s">
        <v>24</v>
      </c>
      <c r="C21" s="37">
        <v>1</v>
      </c>
      <c r="D21" s="175">
        <v>20000000</v>
      </c>
      <c r="E21" s="175">
        <f>+C21*D21</f>
        <v>20000000</v>
      </c>
      <c r="F21" s="175">
        <f>+E21</f>
        <v>20000000</v>
      </c>
      <c r="G21" s="175"/>
      <c r="H21" s="175"/>
      <c r="I21" s="175"/>
      <c r="J21" s="175"/>
      <c r="K21" s="175"/>
      <c r="L21" s="34"/>
    </row>
    <row r="22" spans="1:15" ht="41.25" customHeight="1">
      <c r="A22" s="65" t="s">
        <v>154</v>
      </c>
      <c r="B22" s="69" t="s">
        <v>155</v>
      </c>
      <c r="C22" s="69">
        <v>2</v>
      </c>
      <c r="D22" s="175"/>
      <c r="E22" s="175"/>
      <c r="F22" s="175"/>
      <c r="G22" s="175"/>
      <c r="H22" s="175"/>
      <c r="I22" s="175"/>
      <c r="J22" s="175"/>
      <c r="K22" s="175"/>
      <c r="L22" s="34"/>
      <c r="M22" s="254"/>
    </row>
    <row r="23" spans="1:15" s="253" customFormat="1" ht="39.75" customHeight="1">
      <c r="A23" s="36" t="s">
        <v>156</v>
      </c>
      <c r="B23" s="37" t="s">
        <v>24</v>
      </c>
      <c r="C23" s="37">
        <v>1</v>
      </c>
      <c r="D23" s="175">
        <v>20000000</v>
      </c>
      <c r="E23" s="175">
        <f>+C23*D23</f>
        <v>20000000</v>
      </c>
      <c r="F23" s="175">
        <f>+E23</f>
        <v>20000000</v>
      </c>
      <c r="G23" s="175"/>
      <c r="H23" s="175"/>
      <c r="I23" s="175"/>
      <c r="J23" s="175"/>
      <c r="K23" s="175"/>
      <c r="L23" s="34"/>
    </row>
    <row r="24" spans="1:15" ht="63" customHeight="1">
      <c r="A24" s="65" t="s">
        <v>157</v>
      </c>
      <c r="B24" s="66" t="s">
        <v>155</v>
      </c>
      <c r="C24" s="66">
        <v>2</v>
      </c>
      <c r="D24" s="175"/>
      <c r="E24" s="175"/>
      <c r="F24" s="175"/>
      <c r="G24" s="175"/>
      <c r="H24" s="175"/>
      <c r="I24" s="175"/>
      <c r="J24" s="175"/>
      <c r="K24" s="175"/>
      <c r="L24" s="323"/>
      <c r="M24" s="254"/>
    </row>
    <row r="25" spans="1:15" s="253" customFormat="1" ht="13.5" customHeight="1">
      <c r="A25" s="36" t="s">
        <v>147</v>
      </c>
      <c r="B25" s="38" t="s">
        <v>84</v>
      </c>
      <c r="C25" s="38">
        <v>11</v>
      </c>
      <c r="D25" s="175">
        <f>1400000*1.004</f>
        <v>1405600</v>
      </c>
      <c r="E25" s="34">
        <f>+C25*D25</f>
        <v>15461600</v>
      </c>
      <c r="F25" s="175">
        <f>+E25</f>
        <v>15461600</v>
      </c>
      <c r="G25" s="175"/>
      <c r="H25" s="175"/>
      <c r="I25" s="175"/>
      <c r="J25" s="175"/>
      <c r="K25" s="175"/>
      <c r="L25" s="323"/>
    </row>
    <row r="26" spans="1:15" s="253" customFormat="1" ht="13.5" customHeight="1">
      <c r="A26" s="36" t="s">
        <v>158</v>
      </c>
      <c r="B26" s="38" t="s">
        <v>84</v>
      </c>
      <c r="C26" s="38">
        <v>10</v>
      </c>
      <c r="D26" s="34">
        <f>900000*1.004</f>
        <v>903600</v>
      </c>
      <c r="E26" s="34">
        <f>+C26*D26</f>
        <v>9036000</v>
      </c>
      <c r="F26" s="34">
        <f>+E26</f>
        <v>9036000</v>
      </c>
      <c r="G26" s="175"/>
      <c r="H26" s="175"/>
      <c r="I26" s="175"/>
      <c r="J26" s="175"/>
      <c r="K26" s="175"/>
      <c r="L26" s="323"/>
    </row>
    <row r="27" spans="1:15" s="253" customFormat="1" ht="14.25" customHeight="1">
      <c r="A27" s="36" t="s">
        <v>159</v>
      </c>
      <c r="B27" s="38" t="s">
        <v>133</v>
      </c>
      <c r="C27" s="38">
        <v>1</v>
      </c>
      <c r="D27" s="175">
        <v>305202400</v>
      </c>
      <c r="E27" s="34">
        <f>+C27*D27</f>
        <v>305202400</v>
      </c>
      <c r="F27" s="175">
        <f>+E27</f>
        <v>305202400</v>
      </c>
      <c r="G27" s="175"/>
      <c r="H27" s="175"/>
      <c r="I27" s="175"/>
      <c r="J27" s="175"/>
      <c r="K27" s="175"/>
      <c r="L27" s="323"/>
    </row>
    <row r="28" spans="1:15" ht="45.75" customHeight="1">
      <c r="A28" s="65" t="s">
        <v>98</v>
      </c>
      <c r="B28" s="69" t="s">
        <v>99</v>
      </c>
      <c r="C28" s="69">
        <v>100</v>
      </c>
      <c r="D28" s="34"/>
      <c r="E28" s="34"/>
      <c r="F28" s="34"/>
      <c r="G28" s="34"/>
      <c r="H28" s="175"/>
      <c r="I28" s="34"/>
      <c r="J28" s="175"/>
      <c r="K28" s="34"/>
      <c r="L28" s="324"/>
      <c r="M28" s="254"/>
      <c r="N28" s="254"/>
      <c r="O28" s="254"/>
    </row>
    <row r="29" spans="1:15">
      <c r="A29" s="42" t="s">
        <v>134</v>
      </c>
      <c r="B29" s="39" t="s">
        <v>133</v>
      </c>
      <c r="C29" s="47">
        <v>1</v>
      </c>
      <c r="D29" s="175">
        <v>8000000</v>
      </c>
      <c r="E29" s="34">
        <f>+C29*D29</f>
        <v>8000000</v>
      </c>
      <c r="F29" s="175">
        <f>+E29</f>
        <v>8000000</v>
      </c>
      <c r="G29" s="34"/>
      <c r="H29" s="34"/>
      <c r="I29" s="34"/>
      <c r="J29" s="34"/>
      <c r="K29" s="34"/>
      <c r="L29" s="34"/>
    </row>
    <row r="30" spans="1:15">
      <c r="A30" s="42" t="s">
        <v>135</v>
      </c>
      <c r="B30" s="39" t="s">
        <v>133</v>
      </c>
      <c r="C30" s="47">
        <v>1</v>
      </c>
      <c r="D30" s="175">
        <v>8000000</v>
      </c>
      <c r="E30" s="34">
        <f>+C30*D30</f>
        <v>8000000</v>
      </c>
      <c r="F30" s="175">
        <f>+E30</f>
        <v>8000000</v>
      </c>
      <c r="G30" s="34"/>
      <c r="H30" s="34"/>
      <c r="I30" s="34"/>
      <c r="J30" s="34"/>
      <c r="K30" s="34"/>
      <c r="L30" s="34"/>
    </row>
    <row r="31" spans="1:15">
      <c r="A31" s="42" t="s">
        <v>101</v>
      </c>
      <c r="B31" s="39" t="s">
        <v>133</v>
      </c>
      <c r="C31" s="47">
        <v>1</v>
      </c>
      <c r="D31" s="175">
        <v>1000000</v>
      </c>
      <c r="E31" s="34">
        <f>+C31*D31</f>
        <v>1000000</v>
      </c>
      <c r="F31" s="175">
        <f>+E31</f>
        <v>1000000</v>
      </c>
      <c r="G31" s="34"/>
      <c r="H31" s="34"/>
      <c r="I31" s="34"/>
      <c r="J31" s="34"/>
      <c r="K31" s="34"/>
      <c r="L31" s="34"/>
    </row>
    <row r="32" spans="1:15">
      <c r="A32" s="42" t="s">
        <v>136</v>
      </c>
      <c r="B32" s="39" t="s">
        <v>24</v>
      </c>
      <c r="C32" s="47">
        <v>1</v>
      </c>
      <c r="D32" s="175">
        <v>1120000</v>
      </c>
      <c r="E32" s="34">
        <f>+C32*D32</f>
        <v>1120000</v>
      </c>
      <c r="F32" s="175">
        <f>+E32</f>
        <v>1120000</v>
      </c>
      <c r="G32" s="34"/>
      <c r="H32" s="34"/>
      <c r="I32" s="34"/>
      <c r="J32" s="34"/>
      <c r="K32" s="34"/>
      <c r="L32" s="34"/>
    </row>
    <row r="33" spans="1:13">
      <c r="A33" s="325" t="s">
        <v>37</v>
      </c>
      <c r="B33" s="325"/>
      <c r="C33" s="325"/>
      <c r="D33" s="325"/>
      <c r="E33" s="201">
        <f>SUM(E8:E32)</f>
        <v>915000000</v>
      </c>
      <c r="F33" s="201">
        <f>SUM(F8:F32)</f>
        <v>915000000</v>
      </c>
      <c r="G33" s="201">
        <f t="shared" ref="G33:L33" si="0">SUM(G13:G28)</f>
        <v>0</v>
      </c>
      <c r="H33" s="201">
        <f t="shared" si="0"/>
        <v>0</v>
      </c>
      <c r="I33" s="201">
        <f t="shared" si="0"/>
        <v>0</v>
      </c>
      <c r="J33" s="201">
        <f t="shared" si="0"/>
        <v>0</v>
      </c>
      <c r="K33" s="201">
        <f t="shared" si="0"/>
        <v>0</v>
      </c>
      <c r="L33" s="201">
        <f t="shared" si="0"/>
        <v>0</v>
      </c>
      <c r="M33" s="254"/>
    </row>
    <row r="34" spans="1:13">
      <c r="A34" s="280" t="s">
        <v>38</v>
      </c>
      <c r="B34" s="280"/>
      <c r="C34" s="280"/>
      <c r="D34" s="280"/>
      <c r="E34" s="201">
        <f>+'FUENTES Y USOS'!S11</f>
        <v>915000000</v>
      </c>
      <c r="F34" s="201">
        <f>+'FUENTES Y USOS'!M11</f>
        <v>915000000</v>
      </c>
      <c r="G34" s="201">
        <f>+'[4]FUENTES Y USOS'!N11</f>
        <v>0</v>
      </c>
      <c r="H34" s="201">
        <f>+'[4]FUENTES Y USOS'!O11</f>
        <v>0</v>
      </c>
      <c r="I34" s="201">
        <f>+'[4]FUENTES Y USOS'!P11</f>
        <v>0</v>
      </c>
      <c r="J34" s="201">
        <f>+'[4]FUENTES Y USOS'!Q11</f>
        <v>0</v>
      </c>
      <c r="K34" s="201">
        <f>+'[4]FUENTES Y USOS'!R11</f>
        <v>0</v>
      </c>
      <c r="L34" s="201"/>
      <c r="M34" s="254"/>
    </row>
    <row r="35" spans="1:13">
      <c r="A35" s="325" t="s">
        <v>39</v>
      </c>
      <c r="B35" s="325"/>
      <c r="C35" s="325"/>
      <c r="D35" s="325"/>
      <c r="E35" s="326">
        <f t="shared" ref="E35:L35" si="1">+E34-E33</f>
        <v>0</v>
      </c>
      <c r="F35" s="326">
        <f t="shared" si="1"/>
        <v>0</v>
      </c>
      <c r="G35" s="326">
        <f t="shared" si="1"/>
        <v>0</v>
      </c>
      <c r="H35" s="326">
        <f t="shared" si="1"/>
        <v>0</v>
      </c>
      <c r="I35" s="326">
        <f t="shared" si="1"/>
        <v>0</v>
      </c>
      <c r="J35" s="326">
        <f t="shared" si="1"/>
        <v>0</v>
      </c>
      <c r="K35" s="326">
        <f t="shared" si="1"/>
        <v>0</v>
      </c>
      <c r="L35" s="326">
        <f t="shared" si="1"/>
        <v>0</v>
      </c>
      <c r="M35" s="254"/>
    </row>
    <row r="36" spans="1:13">
      <c r="A36" s="254"/>
      <c r="B36" s="254"/>
      <c r="C36" s="327"/>
      <c r="D36" s="254"/>
      <c r="E36" s="254"/>
      <c r="F36" s="254"/>
      <c r="G36" s="254"/>
      <c r="H36" s="254"/>
      <c r="I36" s="254"/>
      <c r="J36" s="254"/>
      <c r="K36" s="254"/>
      <c r="L36" s="254"/>
      <c r="M36" s="254"/>
    </row>
    <row r="38" spans="1:13">
      <c r="A38" s="85"/>
      <c r="B38" s="292" t="s">
        <v>40</v>
      </c>
      <c r="C38" s="292"/>
      <c r="D38" s="292"/>
      <c r="E38" s="292"/>
    </row>
    <row r="39" spans="1:13">
      <c r="A39" s="86"/>
      <c r="B39" s="292" t="s">
        <v>42</v>
      </c>
      <c r="C39" s="292"/>
      <c r="D39" s="292"/>
      <c r="E39" s="292"/>
    </row>
  </sheetData>
  <mergeCells count="16">
    <mergeCell ref="B38:E38"/>
    <mergeCell ref="B39:E39"/>
    <mergeCell ref="B1:J3"/>
    <mergeCell ref="K1:L1"/>
    <mergeCell ref="K2:L2"/>
    <mergeCell ref="K3:L3"/>
    <mergeCell ref="A33:D33"/>
    <mergeCell ref="A34:D34"/>
    <mergeCell ref="A35:D35"/>
    <mergeCell ref="A4:L4"/>
    <mergeCell ref="A5:A6"/>
    <mergeCell ref="B5:B6"/>
    <mergeCell ref="C5:C6"/>
    <mergeCell ref="D5:D6"/>
    <mergeCell ref="E5:E6"/>
    <mergeCell ref="F5:L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E8" sqref="E8"/>
    </sheetView>
  </sheetViews>
  <sheetFormatPr baseColWidth="10" defaultRowHeight="12.75"/>
  <cols>
    <col min="1" max="1" width="27.42578125" style="192" customWidth="1"/>
    <col min="2" max="3" width="11.42578125" style="192"/>
    <col min="4" max="4" width="15.140625" style="192" customWidth="1"/>
    <col min="5" max="5" width="12.42578125" style="192" customWidth="1"/>
    <col min="6" max="6" width="14.85546875" style="192" bestFit="1" customWidth="1"/>
    <col min="7" max="9" width="11.42578125" style="192"/>
    <col min="10" max="10" width="13.85546875" style="192" bestFit="1" customWidth="1"/>
    <col min="11" max="12" width="11.42578125" style="192"/>
    <col min="13" max="13" width="25.7109375" style="192" customWidth="1"/>
    <col min="14" max="256" width="11.42578125" style="192"/>
    <col min="257" max="257" width="27.42578125" style="192" customWidth="1"/>
    <col min="258" max="259" width="11.42578125" style="192"/>
    <col min="260" max="260" width="15.140625" style="192" customWidth="1"/>
    <col min="261" max="261" width="12.42578125" style="192" customWidth="1"/>
    <col min="262" max="262" width="14.85546875" style="192" bestFit="1" customWidth="1"/>
    <col min="263" max="265" width="11.42578125" style="192"/>
    <col min="266" max="266" width="13.85546875" style="192" bestFit="1" customWidth="1"/>
    <col min="267" max="268" width="11.42578125" style="192"/>
    <col min="269" max="269" width="25.7109375" style="192" customWidth="1"/>
    <col min="270" max="512" width="11.42578125" style="192"/>
    <col min="513" max="513" width="27.42578125" style="192" customWidth="1"/>
    <col min="514" max="515" width="11.42578125" style="192"/>
    <col min="516" max="516" width="15.140625" style="192" customWidth="1"/>
    <col min="517" max="517" width="12.42578125" style="192" customWidth="1"/>
    <col min="518" max="518" width="14.85546875" style="192" bestFit="1" customWidth="1"/>
    <col min="519" max="521" width="11.42578125" style="192"/>
    <col min="522" max="522" width="13.85546875" style="192" bestFit="1" customWidth="1"/>
    <col min="523" max="524" width="11.42578125" style="192"/>
    <col min="525" max="525" width="25.7109375" style="192" customWidth="1"/>
    <col min="526" max="768" width="11.42578125" style="192"/>
    <col min="769" max="769" width="27.42578125" style="192" customWidth="1"/>
    <col min="770" max="771" width="11.42578125" style="192"/>
    <col min="772" max="772" width="15.140625" style="192" customWidth="1"/>
    <col min="773" max="773" width="12.42578125" style="192" customWidth="1"/>
    <col min="774" max="774" width="14.85546875" style="192" bestFit="1" customWidth="1"/>
    <col min="775" max="777" width="11.42578125" style="192"/>
    <col min="778" max="778" width="13.85546875" style="192" bestFit="1" customWidth="1"/>
    <col min="779" max="780" width="11.42578125" style="192"/>
    <col min="781" max="781" width="25.7109375" style="192" customWidth="1"/>
    <col min="782" max="1024" width="11.42578125" style="192"/>
    <col min="1025" max="1025" width="27.42578125" style="192" customWidth="1"/>
    <col min="1026" max="1027" width="11.42578125" style="192"/>
    <col min="1028" max="1028" width="15.140625" style="192" customWidth="1"/>
    <col min="1029" max="1029" width="12.42578125" style="192" customWidth="1"/>
    <col min="1030" max="1030" width="14.85546875" style="192" bestFit="1" customWidth="1"/>
    <col min="1031" max="1033" width="11.42578125" style="192"/>
    <col min="1034" max="1034" width="13.85546875" style="192" bestFit="1" customWidth="1"/>
    <col min="1035" max="1036" width="11.42578125" style="192"/>
    <col min="1037" max="1037" width="25.7109375" style="192" customWidth="1"/>
    <col min="1038" max="1280" width="11.42578125" style="192"/>
    <col min="1281" max="1281" width="27.42578125" style="192" customWidth="1"/>
    <col min="1282" max="1283" width="11.42578125" style="192"/>
    <col min="1284" max="1284" width="15.140625" style="192" customWidth="1"/>
    <col min="1285" max="1285" width="12.42578125" style="192" customWidth="1"/>
    <col min="1286" max="1286" width="14.85546875" style="192" bestFit="1" customWidth="1"/>
    <col min="1287" max="1289" width="11.42578125" style="192"/>
    <col min="1290" max="1290" width="13.85546875" style="192" bestFit="1" customWidth="1"/>
    <col min="1291" max="1292" width="11.42578125" style="192"/>
    <col min="1293" max="1293" width="25.7109375" style="192" customWidth="1"/>
    <col min="1294" max="1536" width="11.42578125" style="192"/>
    <col min="1537" max="1537" width="27.42578125" style="192" customWidth="1"/>
    <col min="1538" max="1539" width="11.42578125" style="192"/>
    <col min="1540" max="1540" width="15.140625" style="192" customWidth="1"/>
    <col min="1541" max="1541" width="12.42578125" style="192" customWidth="1"/>
    <col min="1542" max="1542" width="14.85546875" style="192" bestFit="1" customWidth="1"/>
    <col min="1543" max="1545" width="11.42578125" style="192"/>
    <col min="1546" max="1546" width="13.85546875" style="192" bestFit="1" customWidth="1"/>
    <col min="1547" max="1548" width="11.42578125" style="192"/>
    <col min="1549" max="1549" width="25.7109375" style="192" customWidth="1"/>
    <col min="1550" max="1792" width="11.42578125" style="192"/>
    <col min="1793" max="1793" width="27.42578125" style="192" customWidth="1"/>
    <col min="1794" max="1795" width="11.42578125" style="192"/>
    <col min="1796" max="1796" width="15.140625" style="192" customWidth="1"/>
    <col min="1797" max="1797" width="12.42578125" style="192" customWidth="1"/>
    <col min="1798" max="1798" width="14.85546875" style="192" bestFit="1" customWidth="1"/>
    <col min="1799" max="1801" width="11.42578125" style="192"/>
    <col min="1802" max="1802" width="13.85546875" style="192" bestFit="1" customWidth="1"/>
    <col min="1803" max="1804" width="11.42578125" style="192"/>
    <col min="1805" max="1805" width="25.7109375" style="192" customWidth="1"/>
    <col min="1806" max="2048" width="11.42578125" style="192"/>
    <col min="2049" max="2049" width="27.42578125" style="192" customWidth="1"/>
    <col min="2050" max="2051" width="11.42578125" style="192"/>
    <col min="2052" max="2052" width="15.140625" style="192" customWidth="1"/>
    <col min="2053" max="2053" width="12.42578125" style="192" customWidth="1"/>
    <col min="2054" max="2054" width="14.85546875" style="192" bestFit="1" customWidth="1"/>
    <col min="2055" max="2057" width="11.42578125" style="192"/>
    <col min="2058" max="2058" width="13.85546875" style="192" bestFit="1" customWidth="1"/>
    <col min="2059" max="2060" width="11.42578125" style="192"/>
    <col min="2061" max="2061" width="25.7109375" style="192" customWidth="1"/>
    <col min="2062" max="2304" width="11.42578125" style="192"/>
    <col min="2305" max="2305" width="27.42578125" style="192" customWidth="1"/>
    <col min="2306" max="2307" width="11.42578125" style="192"/>
    <col min="2308" max="2308" width="15.140625" style="192" customWidth="1"/>
    <col min="2309" max="2309" width="12.42578125" style="192" customWidth="1"/>
    <col min="2310" max="2310" width="14.85546875" style="192" bestFit="1" customWidth="1"/>
    <col min="2311" max="2313" width="11.42578125" style="192"/>
    <col min="2314" max="2314" width="13.85546875" style="192" bestFit="1" customWidth="1"/>
    <col min="2315" max="2316" width="11.42578125" style="192"/>
    <col min="2317" max="2317" width="25.7109375" style="192" customWidth="1"/>
    <col min="2318" max="2560" width="11.42578125" style="192"/>
    <col min="2561" max="2561" width="27.42578125" style="192" customWidth="1"/>
    <col min="2562" max="2563" width="11.42578125" style="192"/>
    <col min="2564" max="2564" width="15.140625" style="192" customWidth="1"/>
    <col min="2565" max="2565" width="12.42578125" style="192" customWidth="1"/>
    <col min="2566" max="2566" width="14.85546875" style="192" bestFit="1" customWidth="1"/>
    <col min="2567" max="2569" width="11.42578125" style="192"/>
    <col min="2570" max="2570" width="13.85546875" style="192" bestFit="1" customWidth="1"/>
    <col min="2571" max="2572" width="11.42578125" style="192"/>
    <col min="2573" max="2573" width="25.7109375" style="192" customWidth="1"/>
    <col min="2574" max="2816" width="11.42578125" style="192"/>
    <col min="2817" max="2817" width="27.42578125" style="192" customWidth="1"/>
    <col min="2818" max="2819" width="11.42578125" style="192"/>
    <col min="2820" max="2820" width="15.140625" style="192" customWidth="1"/>
    <col min="2821" max="2821" width="12.42578125" style="192" customWidth="1"/>
    <col min="2822" max="2822" width="14.85546875" style="192" bestFit="1" customWidth="1"/>
    <col min="2823" max="2825" width="11.42578125" style="192"/>
    <col min="2826" max="2826" width="13.85546875" style="192" bestFit="1" customWidth="1"/>
    <col min="2827" max="2828" width="11.42578125" style="192"/>
    <col min="2829" max="2829" width="25.7109375" style="192" customWidth="1"/>
    <col min="2830" max="3072" width="11.42578125" style="192"/>
    <col min="3073" max="3073" width="27.42578125" style="192" customWidth="1"/>
    <col min="3074" max="3075" width="11.42578125" style="192"/>
    <col min="3076" max="3076" width="15.140625" style="192" customWidth="1"/>
    <col min="3077" max="3077" width="12.42578125" style="192" customWidth="1"/>
    <col min="3078" max="3078" width="14.85546875" style="192" bestFit="1" customWidth="1"/>
    <col min="3079" max="3081" width="11.42578125" style="192"/>
    <col min="3082" max="3082" width="13.85546875" style="192" bestFit="1" customWidth="1"/>
    <col min="3083" max="3084" width="11.42578125" style="192"/>
    <col min="3085" max="3085" width="25.7109375" style="192" customWidth="1"/>
    <col min="3086" max="3328" width="11.42578125" style="192"/>
    <col min="3329" max="3329" width="27.42578125" style="192" customWidth="1"/>
    <col min="3330" max="3331" width="11.42578125" style="192"/>
    <col min="3332" max="3332" width="15.140625" style="192" customWidth="1"/>
    <col min="3333" max="3333" width="12.42578125" style="192" customWidth="1"/>
    <col min="3334" max="3334" width="14.85546875" style="192" bestFit="1" customWidth="1"/>
    <col min="3335" max="3337" width="11.42578125" style="192"/>
    <col min="3338" max="3338" width="13.85546875" style="192" bestFit="1" customWidth="1"/>
    <col min="3339" max="3340" width="11.42578125" style="192"/>
    <col min="3341" max="3341" width="25.7109375" style="192" customWidth="1"/>
    <col min="3342" max="3584" width="11.42578125" style="192"/>
    <col min="3585" max="3585" width="27.42578125" style="192" customWidth="1"/>
    <col min="3586" max="3587" width="11.42578125" style="192"/>
    <col min="3588" max="3588" width="15.140625" style="192" customWidth="1"/>
    <col min="3589" max="3589" width="12.42578125" style="192" customWidth="1"/>
    <col min="3590" max="3590" width="14.85546875" style="192" bestFit="1" customWidth="1"/>
    <col min="3591" max="3593" width="11.42578125" style="192"/>
    <col min="3594" max="3594" width="13.85546875" style="192" bestFit="1" customWidth="1"/>
    <col min="3595" max="3596" width="11.42578125" style="192"/>
    <col min="3597" max="3597" width="25.7109375" style="192" customWidth="1"/>
    <col min="3598" max="3840" width="11.42578125" style="192"/>
    <col min="3841" max="3841" width="27.42578125" style="192" customWidth="1"/>
    <col min="3842" max="3843" width="11.42578125" style="192"/>
    <col min="3844" max="3844" width="15.140625" style="192" customWidth="1"/>
    <col min="3845" max="3845" width="12.42578125" style="192" customWidth="1"/>
    <col min="3846" max="3846" width="14.85546875" style="192" bestFit="1" customWidth="1"/>
    <col min="3847" max="3849" width="11.42578125" style="192"/>
    <col min="3850" max="3850" width="13.85546875" style="192" bestFit="1" customWidth="1"/>
    <col min="3851" max="3852" width="11.42578125" style="192"/>
    <col min="3853" max="3853" width="25.7109375" style="192" customWidth="1"/>
    <col min="3854" max="4096" width="11.42578125" style="192"/>
    <col min="4097" max="4097" width="27.42578125" style="192" customWidth="1"/>
    <col min="4098" max="4099" width="11.42578125" style="192"/>
    <col min="4100" max="4100" width="15.140625" style="192" customWidth="1"/>
    <col min="4101" max="4101" width="12.42578125" style="192" customWidth="1"/>
    <col min="4102" max="4102" width="14.85546875" style="192" bestFit="1" customWidth="1"/>
    <col min="4103" max="4105" width="11.42578125" style="192"/>
    <col min="4106" max="4106" width="13.85546875" style="192" bestFit="1" customWidth="1"/>
    <col min="4107" max="4108" width="11.42578125" style="192"/>
    <col min="4109" max="4109" width="25.7109375" style="192" customWidth="1"/>
    <col min="4110" max="4352" width="11.42578125" style="192"/>
    <col min="4353" max="4353" width="27.42578125" style="192" customWidth="1"/>
    <col min="4354" max="4355" width="11.42578125" style="192"/>
    <col min="4356" max="4356" width="15.140625" style="192" customWidth="1"/>
    <col min="4357" max="4357" width="12.42578125" style="192" customWidth="1"/>
    <col min="4358" max="4358" width="14.85546875" style="192" bestFit="1" customWidth="1"/>
    <col min="4359" max="4361" width="11.42578125" style="192"/>
    <col min="4362" max="4362" width="13.85546875" style="192" bestFit="1" customWidth="1"/>
    <col min="4363" max="4364" width="11.42578125" style="192"/>
    <col min="4365" max="4365" width="25.7109375" style="192" customWidth="1"/>
    <col min="4366" max="4608" width="11.42578125" style="192"/>
    <col min="4609" max="4609" width="27.42578125" style="192" customWidth="1"/>
    <col min="4610" max="4611" width="11.42578125" style="192"/>
    <col min="4612" max="4612" width="15.140625" style="192" customWidth="1"/>
    <col min="4613" max="4613" width="12.42578125" style="192" customWidth="1"/>
    <col min="4614" max="4614" width="14.85546875" style="192" bestFit="1" customWidth="1"/>
    <col min="4615" max="4617" width="11.42578125" style="192"/>
    <col min="4618" max="4618" width="13.85546875" style="192" bestFit="1" customWidth="1"/>
    <col min="4619" max="4620" width="11.42578125" style="192"/>
    <col min="4621" max="4621" width="25.7109375" style="192" customWidth="1"/>
    <col min="4622" max="4864" width="11.42578125" style="192"/>
    <col min="4865" max="4865" width="27.42578125" style="192" customWidth="1"/>
    <col min="4866" max="4867" width="11.42578125" style="192"/>
    <col min="4868" max="4868" width="15.140625" style="192" customWidth="1"/>
    <col min="4869" max="4869" width="12.42578125" style="192" customWidth="1"/>
    <col min="4870" max="4870" width="14.85546875" style="192" bestFit="1" customWidth="1"/>
    <col min="4871" max="4873" width="11.42578125" style="192"/>
    <col min="4874" max="4874" width="13.85546875" style="192" bestFit="1" customWidth="1"/>
    <col min="4875" max="4876" width="11.42578125" style="192"/>
    <col min="4877" max="4877" width="25.7109375" style="192" customWidth="1"/>
    <col min="4878" max="5120" width="11.42578125" style="192"/>
    <col min="5121" max="5121" width="27.42578125" style="192" customWidth="1"/>
    <col min="5122" max="5123" width="11.42578125" style="192"/>
    <col min="5124" max="5124" width="15.140625" style="192" customWidth="1"/>
    <col min="5125" max="5125" width="12.42578125" style="192" customWidth="1"/>
    <col min="5126" max="5126" width="14.85546875" style="192" bestFit="1" customWidth="1"/>
    <col min="5127" max="5129" width="11.42578125" style="192"/>
    <col min="5130" max="5130" width="13.85546875" style="192" bestFit="1" customWidth="1"/>
    <col min="5131" max="5132" width="11.42578125" style="192"/>
    <col min="5133" max="5133" width="25.7109375" style="192" customWidth="1"/>
    <col min="5134" max="5376" width="11.42578125" style="192"/>
    <col min="5377" max="5377" width="27.42578125" style="192" customWidth="1"/>
    <col min="5378" max="5379" width="11.42578125" style="192"/>
    <col min="5380" max="5380" width="15.140625" style="192" customWidth="1"/>
    <col min="5381" max="5381" width="12.42578125" style="192" customWidth="1"/>
    <col min="5382" max="5382" width="14.85546875" style="192" bestFit="1" customWidth="1"/>
    <col min="5383" max="5385" width="11.42578125" style="192"/>
    <col min="5386" max="5386" width="13.85546875" style="192" bestFit="1" customWidth="1"/>
    <col min="5387" max="5388" width="11.42578125" style="192"/>
    <col min="5389" max="5389" width="25.7109375" style="192" customWidth="1"/>
    <col min="5390" max="5632" width="11.42578125" style="192"/>
    <col min="5633" max="5633" width="27.42578125" style="192" customWidth="1"/>
    <col min="5634" max="5635" width="11.42578125" style="192"/>
    <col min="5636" max="5636" width="15.140625" style="192" customWidth="1"/>
    <col min="5637" max="5637" width="12.42578125" style="192" customWidth="1"/>
    <col min="5638" max="5638" width="14.85546875" style="192" bestFit="1" customWidth="1"/>
    <col min="5639" max="5641" width="11.42578125" style="192"/>
    <col min="5642" max="5642" width="13.85546875" style="192" bestFit="1" customWidth="1"/>
    <col min="5643" max="5644" width="11.42578125" style="192"/>
    <col min="5645" max="5645" width="25.7109375" style="192" customWidth="1"/>
    <col min="5646" max="5888" width="11.42578125" style="192"/>
    <col min="5889" max="5889" width="27.42578125" style="192" customWidth="1"/>
    <col min="5890" max="5891" width="11.42578125" style="192"/>
    <col min="5892" max="5892" width="15.140625" style="192" customWidth="1"/>
    <col min="5893" max="5893" width="12.42578125" style="192" customWidth="1"/>
    <col min="5894" max="5894" width="14.85546875" style="192" bestFit="1" customWidth="1"/>
    <col min="5895" max="5897" width="11.42578125" style="192"/>
    <col min="5898" max="5898" width="13.85546875" style="192" bestFit="1" customWidth="1"/>
    <col min="5899" max="5900" width="11.42578125" style="192"/>
    <col min="5901" max="5901" width="25.7109375" style="192" customWidth="1"/>
    <col min="5902" max="6144" width="11.42578125" style="192"/>
    <col min="6145" max="6145" width="27.42578125" style="192" customWidth="1"/>
    <col min="6146" max="6147" width="11.42578125" style="192"/>
    <col min="6148" max="6148" width="15.140625" style="192" customWidth="1"/>
    <col min="6149" max="6149" width="12.42578125" style="192" customWidth="1"/>
    <col min="6150" max="6150" width="14.85546875" style="192" bestFit="1" customWidth="1"/>
    <col min="6151" max="6153" width="11.42578125" style="192"/>
    <col min="6154" max="6154" width="13.85546875" style="192" bestFit="1" customWidth="1"/>
    <col min="6155" max="6156" width="11.42578125" style="192"/>
    <col min="6157" max="6157" width="25.7109375" style="192" customWidth="1"/>
    <col min="6158" max="6400" width="11.42578125" style="192"/>
    <col min="6401" max="6401" width="27.42578125" style="192" customWidth="1"/>
    <col min="6402" max="6403" width="11.42578125" style="192"/>
    <col min="6404" max="6404" width="15.140625" style="192" customWidth="1"/>
    <col min="6405" max="6405" width="12.42578125" style="192" customWidth="1"/>
    <col min="6406" max="6406" width="14.85546875" style="192" bestFit="1" customWidth="1"/>
    <col min="6407" max="6409" width="11.42578125" style="192"/>
    <col min="6410" max="6410" width="13.85546875" style="192" bestFit="1" customWidth="1"/>
    <col min="6411" max="6412" width="11.42578125" style="192"/>
    <col min="6413" max="6413" width="25.7109375" style="192" customWidth="1"/>
    <col min="6414" max="6656" width="11.42578125" style="192"/>
    <col min="6657" max="6657" width="27.42578125" style="192" customWidth="1"/>
    <col min="6658" max="6659" width="11.42578125" style="192"/>
    <col min="6660" max="6660" width="15.140625" style="192" customWidth="1"/>
    <col min="6661" max="6661" width="12.42578125" style="192" customWidth="1"/>
    <col min="6662" max="6662" width="14.85546875" style="192" bestFit="1" customWidth="1"/>
    <col min="6663" max="6665" width="11.42578125" style="192"/>
    <col min="6666" max="6666" width="13.85546875" style="192" bestFit="1" customWidth="1"/>
    <col min="6667" max="6668" width="11.42578125" style="192"/>
    <col min="6669" max="6669" width="25.7109375" style="192" customWidth="1"/>
    <col min="6670" max="6912" width="11.42578125" style="192"/>
    <col min="6913" max="6913" width="27.42578125" style="192" customWidth="1"/>
    <col min="6914" max="6915" width="11.42578125" style="192"/>
    <col min="6916" max="6916" width="15.140625" style="192" customWidth="1"/>
    <col min="6917" max="6917" width="12.42578125" style="192" customWidth="1"/>
    <col min="6918" max="6918" width="14.85546875" style="192" bestFit="1" customWidth="1"/>
    <col min="6919" max="6921" width="11.42578125" style="192"/>
    <col min="6922" max="6922" width="13.85546875" style="192" bestFit="1" customWidth="1"/>
    <col min="6923" max="6924" width="11.42578125" style="192"/>
    <col min="6925" max="6925" width="25.7109375" style="192" customWidth="1"/>
    <col min="6926" max="7168" width="11.42578125" style="192"/>
    <col min="7169" max="7169" width="27.42578125" style="192" customWidth="1"/>
    <col min="7170" max="7171" width="11.42578125" style="192"/>
    <col min="7172" max="7172" width="15.140625" style="192" customWidth="1"/>
    <col min="7173" max="7173" width="12.42578125" style="192" customWidth="1"/>
    <col min="7174" max="7174" width="14.85546875" style="192" bestFit="1" customWidth="1"/>
    <col min="7175" max="7177" width="11.42578125" style="192"/>
    <col min="7178" max="7178" width="13.85546875" style="192" bestFit="1" customWidth="1"/>
    <col min="7179" max="7180" width="11.42578125" style="192"/>
    <col min="7181" max="7181" width="25.7109375" style="192" customWidth="1"/>
    <col min="7182" max="7424" width="11.42578125" style="192"/>
    <col min="7425" max="7425" width="27.42578125" style="192" customWidth="1"/>
    <col min="7426" max="7427" width="11.42578125" style="192"/>
    <col min="7428" max="7428" width="15.140625" style="192" customWidth="1"/>
    <col min="7429" max="7429" width="12.42578125" style="192" customWidth="1"/>
    <col min="7430" max="7430" width="14.85546875" style="192" bestFit="1" customWidth="1"/>
    <col min="7431" max="7433" width="11.42578125" style="192"/>
    <col min="7434" max="7434" width="13.85546875" style="192" bestFit="1" customWidth="1"/>
    <col min="7435" max="7436" width="11.42578125" style="192"/>
    <col min="7437" max="7437" width="25.7109375" style="192" customWidth="1"/>
    <col min="7438" max="7680" width="11.42578125" style="192"/>
    <col min="7681" max="7681" width="27.42578125" style="192" customWidth="1"/>
    <col min="7682" max="7683" width="11.42578125" style="192"/>
    <col min="7684" max="7684" width="15.140625" style="192" customWidth="1"/>
    <col min="7685" max="7685" width="12.42578125" style="192" customWidth="1"/>
    <col min="7686" max="7686" width="14.85546875" style="192" bestFit="1" customWidth="1"/>
    <col min="7687" max="7689" width="11.42578125" style="192"/>
    <col min="7690" max="7690" width="13.85546875" style="192" bestFit="1" customWidth="1"/>
    <col min="7691" max="7692" width="11.42578125" style="192"/>
    <col min="7693" max="7693" width="25.7109375" style="192" customWidth="1"/>
    <col min="7694" max="7936" width="11.42578125" style="192"/>
    <col min="7937" max="7937" width="27.42578125" style="192" customWidth="1"/>
    <col min="7938" max="7939" width="11.42578125" style="192"/>
    <col min="7940" max="7940" width="15.140625" style="192" customWidth="1"/>
    <col min="7941" max="7941" width="12.42578125" style="192" customWidth="1"/>
    <col min="7942" max="7942" width="14.85546875" style="192" bestFit="1" customWidth="1"/>
    <col min="7943" max="7945" width="11.42578125" style="192"/>
    <col min="7946" max="7946" width="13.85546875" style="192" bestFit="1" customWidth="1"/>
    <col min="7947" max="7948" width="11.42578125" style="192"/>
    <col min="7949" max="7949" width="25.7109375" style="192" customWidth="1"/>
    <col min="7950" max="8192" width="11.42578125" style="192"/>
    <col min="8193" max="8193" width="27.42578125" style="192" customWidth="1"/>
    <col min="8194" max="8195" width="11.42578125" style="192"/>
    <col min="8196" max="8196" width="15.140625" style="192" customWidth="1"/>
    <col min="8197" max="8197" width="12.42578125" style="192" customWidth="1"/>
    <col min="8198" max="8198" width="14.85546875" style="192" bestFit="1" customWidth="1"/>
    <col min="8199" max="8201" width="11.42578125" style="192"/>
    <col min="8202" max="8202" width="13.85546875" style="192" bestFit="1" customWidth="1"/>
    <col min="8203" max="8204" width="11.42578125" style="192"/>
    <col min="8205" max="8205" width="25.7109375" style="192" customWidth="1"/>
    <col min="8206" max="8448" width="11.42578125" style="192"/>
    <col min="8449" max="8449" width="27.42578125" style="192" customWidth="1"/>
    <col min="8450" max="8451" width="11.42578125" style="192"/>
    <col min="8452" max="8452" width="15.140625" style="192" customWidth="1"/>
    <col min="8453" max="8453" width="12.42578125" style="192" customWidth="1"/>
    <col min="8454" max="8454" width="14.85546875" style="192" bestFit="1" customWidth="1"/>
    <col min="8455" max="8457" width="11.42578125" style="192"/>
    <col min="8458" max="8458" width="13.85546875" style="192" bestFit="1" customWidth="1"/>
    <col min="8459" max="8460" width="11.42578125" style="192"/>
    <col min="8461" max="8461" width="25.7109375" style="192" customWidth="1"/>
    <col min="8462" max="8704" width="11.42578125" style="192"/>
    <col min="8705" max="8705" width="27.42578125" style="192" customWidth="1"/>
    <col min="8706" max="8707" width="11.42578125" style="192"/>
    <col min="8708" max="8708" width="15.140625" style="192" customWidth="1"/>
    <col min="8709" max="8709" width="12.42578125" style="192" customWidth="1"/>
    <col min="8710" max="8710" width="14.85546875" style="192" bestFit="1" customWidth="1"/>
    <col min="8711" max="8713" width="11.42578125" style="192"/>
    <col min="8714" max="8714" width="13.85546875" style="192" bestFit="1" customWidth="1"/>
    <col min="8715" max="8716" width="11.42578125" style="192"/>
    <col min="8717" max="8717" width="25.7109375" style="192" customWidth="1"/>
    <col min="8718" max="8960" width="11.42578125" style="192"/>
    <col min="8961" max="8961" width="27.42578125" style="192" customWidth="1"/>
    <col min="8962" max="8963" width="11.42578125" style="192"/>
    <col min="8964" max="8964" width="15.140625" style="192" customWidth="1"/>
    <col min="8965" max="8965" width="12.42578125" style="192" customWidth="1"/>
    <col min="8966" max="8966" width="14.85546875" style="192" bestFit="1" customWidth="1"/>
    <col min="8967" max="8969" width="11.42578125" style="192"/>
    <col min="8970" max="8970" width="13.85546875" style="192" bestFit="1" customWidth="1"/>
    <col min="8971" max="8972" width="11.42578125" style="192"/>
    <col min="8973" max="8973" width="25.7109375" style="192" customWidth="1"/>
    <col min="8974" max="9216" width="11.42578125" style="192"/>
    <col min="9217" max="9217" width="27.42578125" style="192" customWidth="1"/>
    <col min="9218" max="9219" width="11.42578125" style="192"/>
    <col min="9220" max="9220" width="15.140625" style="192" customWidth="1"/>
    <col min="9221" max="9221" width="12.42578125" style="192" customWidth="1"/>
    <col min="9222" max="9222" width="14.85546875" style="192" bestFit="1" customWidth="1"/>
    <col min="9223" max="9225" width="11.42578125" style="192"/>
    <col min="9226" max="9226" width="13.85546875" style="192" bestFit="1" customWidth="1"/>
    <col min="9227" max="9228" width="11.42578125" style="192"/>
    <col min="9229" max="9229" width="25.7109375" style="192" customWidth="1"/>
    <col min="9230" max="9472" width="11.42578125" style="192"/>
    <col min="9473" max="9473" width="27.42578125" style="192" customWidth="1"/>
    <col min="9474" max="9475" width="11.42578125" style="192"/>
    <col min="9476" max="9476" width="15.140625" style="192" customWidth="1"/>
    <col min="9477" max="9477" width="12.42578125" style="192" customWidth="1"/>
    <col min="9478" max="9478" width="14.85546875" style="192" bestFit="1" customWidth="1"/>
    <col min="9479" max="9481" width="11.42578125" style="192"/>
    <col min="9482" max="9482" width="13.85546875" style="192" bestFit="1" customWidth="1"/>
    <col min="9483" max="9484" width="11.42578125" style="192"/>
    <col min="9485" max="9485" width="25.7109375" style="192" customWidth="1"/>
    <col min="9486" max="9728" width="11.42578125" style="192"/>
    <col min="9729" max="9729" width="27.42578125" style="192" customWidth="1"/>
    <col min="9730" max="9731" width="11.42578125" style="192"/>
    <col min="9732" max="9732" width="15.140625" style="192" customWidth="1"/>
    <col min="9733" max="9733" width="12.42578125" style="192" customWidth="1"/>
    <col min="9734" max="9734" width="14.85546875" style="192" bestFit="1" customWidth="1"/>
    <col min="9735" max="9737" width="11.42578125" style="192"/>
    <col min="9738" max="9738" width="13.85546875" style="192" bestFit="1" customWidth="1"/>
    <col min="9739" max="9740" width="11.42578125" style="192"/>
    <col min="9741" max="9741" width="25.7109375" style="192" customWidth="1"/>
    <col min="9742" max="9984" width="11.42578125" style="192"/>
    <col min="9985" max="9985" width="27.42578125" style="192" customWidth="1"/>
    <col min="9986" max="9987" width="11.42578125" style="192"/>
    <col min="9988" max="9988" width="15.140625" style="192" customWidth="1"/>
    <col min="9989" max="9989" width="12.42578125" style="192" customWidth="1"/>
    <col min="9990" max="9990" width="14.85546875" style="192" bestFit="1" customWidth="1"/>
    <col min="9991" max="9993" width="11.42578125" style="192"/>
    <col min="9994" max="9994" width="13.85546875" style="192" bestFit="1" customWidth="1"/>
    <col min="9995" max="9996" width="11.42578125" style="192"/>
    <col min="9997" max="9997" width="25.7109375" style="192" customWidth="1"/>
    <col min="9998" max="10240" width="11.42578125" style="192"/>
    <col min="10241" max="10241" width="27.42578125" style="192" customWidth="1"/>
    <col min="10242" max="10243" width="11.42578125" style="192"/>
    <col min="10244" max="10244" width="15.140625" style="192" customWidth="1"/>
    <col min="10245" max="10245" width="12.42578125" style="192" customWidth="1"/>
    <col min="10246" max="10246" width="14.85546875" style="192" bestFit="1" customWidth="1"/>
    <col min="10247" max="10249" width="11.42578125" style="192"/>
    <col min="10250" max="10250" width="13.85546875" style="192" bestFit="1" customWidth="1"/>
    <col min="10251" max="10252" width="11.42578125" style="192"/>
    <col min="10253" max="10253" width="25.7109375" style="192" customWidth="1"/>
    <col min="10254" max="10496" width="11.42578125" style="192"/>
    <col min="10497" max="10497" width="27.42578125" style="192" customWidth="1"/>
    <col min="10498" max="10499" width="11.42578125" style="192"/>
    <col min="10500" max="10500" width="15.140625" style="192" customWidth="1"/>
    <col min="10501" max="10501" width="12.42578125" style="192" customWidth="1"/>
    <col min="10502" max="10502" width="14.85546875" style="192" bestFit="1" customWidth="1"/>
    <col min="10503" max="10505" width="11.42578125" style="192"/>
    <col min="10506" max="10506" width="13.85546875" style="192" bestFit="1" customWidth="1"/>
    <col min="10507" max="10508" width="11.42578125" style="192"/>
    <col min="10509" max="10509" width="25.7109375" style="192" customWidth="1"/>
    <col min="10510" max="10752" width="11.42578125" style="192"/>
    <col min="10753" max="10753" width="27.42578125" style="192" customWidth="1"/>
    <col min="10754" max="10755" width="11.42578125" style="192"/>
    <col min="10756" max="10756" width="15.140625" style="192" customWidth="1"/>
    <col min="10757" max="10757" width="12.42578125" style="192" customWidth="1"/>
    <col min="10758" max="10758" width="14.85546875" style="192" bestFit="1" customWidth="1"/>
    <col min="10759" max="10761" width="11.42578125" style="192"/>
    <col min="10762" max="10762" width="13.85546875" style="192" bestFit="1" customWidth="1"/>
    <col min="10763" max="10764" width="11.42578125" style="192"/>
    <col min="10765" max="10765" width="25.7109375" style="192" customWidth="1"/>
    <col min="10766" max="11008" width="11.42578125" style="192"/>
    <col min="11009" max="11009" width="27.42578125" style="192" customWidth="1"/>
    <col min="11010" max="11011" width="11.42578125" style="192"/>
    <col min="11012" max="11012" width="15.140625" style="192" customWidth="1"/>
    <col min="11013" max="11013" width="12.42578125" style="192" customWidth="1"/>
    <col min="11014" max="11014" width="14.85546875" style="192" bestFit="1" customWidth="1"/>
    <col min="11015" max="11017" width="11.42578125" style="192"/>
    <col min="11018" max="11018" width="13.85546875" style="192" bestFit="1" customWidth="1"/>
    <col min="11019" max="11020" width="11.42578125" style="192"/>
    <col min="11021" max="11021" width="25.7109375" style="192" customWidth="1"/>
    <col min="11022" max="11264" width="11.42578125" style="192"/>
    <col min="11265" max="11265" width="27.42578125" style="192" customWidth="1"/>
    <col min="11266" max="11267" width="11.42578125" style="192"/>
    <col min="11268" max="11268" width="15.140625" style="192" customWidth="1"/>
    <col min="11269" max="11269" width="12.42578125" style="192" customWidth="1"/>
    <col min="11270" max="11270" width="14.85546875" style="192" bestFit="1" customWidth="1"/>
    <col min="11271" max="11273" width="11.42578125" style="192"/>
    <col min="11274" max="11274" width="13.85546875" style="192" bestFit="1" customWidth="1"/>
    <col min="11275" max="11276" width="11.42578125" style="192"/>
    <col min="11277" max="11277" width="25.7109375" style="192" customWidth="1"/>
    <col min="11278" max="11520" width="11.42578125" style="192"/>
    <col min="11521" max="11521" width="27.42578125" style="192" customWidth="1"/>
    <col min="11522" max="11523" width="11.42578125" style="192"/>
    <col min="11524" max="11524" width="15.140625" style="192" customWidth="1"/>
    <col min="11525" max="11525" width="12.42578125" style="192" customWidth="1"/>
    <col min="11526" max="11526" width="14.85546875" style="192" bestFit="1" customWidth="1"/>
    <col min="11527" max="11529" width="11.42578125" style="192"/>
    <col min="11530" max="11530" width="13.85546875" style="192" bestFit="1" customWidth="1"/>
    <col min="11531" max="11532" width="11.42578125" style="192"/>
    <col min="11533" max="11533" width="25.7109375" style="192" customWidth="1"/>
    <col min="11534" max="11776" width="11.42578125" style="192"/>
    <col min="11777" max="11777" width="27.42578125" style="192" customWidth="1"/>
    <col min="11778" max="11779" width="11.42578125" style="192"/>
    <col min="11780" max="11780" width="15.140625" style="192" customWidth="1"/>
    <col min="11781" max="11781" width="12.42578125" style="192" customWidth="1"/>
    <col min="11782" max="11782" width="14.85546875" style="192" bestFit="1" customWidth="1"/>
    <col min="11783" max="11785" width="11.42578125" style="192"/>
    <col min="11786" max="11786" width="13.85546875" style="192" bestFit="1" customWidth="1"/>
    <col min="11787" max="11788" width="11.42578125" style="192"/>
    <col min="11789" max="11789" width="25.7109375" style="192" customWidth="1"/>
    <col min="11790" max="12032" width="11.42578125" style="192"/>
    <col min="12033" max="12033" width="27.42578125" style="192" customWidth="1"/>
    <col min="12034" max="12035" width="11.42578125" style="192"/>
    <col min="12036" max="12036" width="15.140625" style="192" customWidth="1"/>
    <col min="12037" max="12037" width="12.42578125" style="192" customWidth="1"/>
    <col min="12038" max="12038" width="14.85546875" style="192" bestFit="1" customWidth="1"/>
    <col min="12039" max="12041" width="11.42578125" style="192"/>
    <col min="12042" max="12042" width="13.85546875" style="192" bestFit="1" customWidth="1"/>
    <col min="12043" max="12044" width="11.42578125" style="192"/>
    <col min="12045" max="12045" width="25.7109375" style="192" customWidth="1"/>
    <col min="12046" max="12288" width="11.42578125" style="192"/>
    <col min="12289" max="12289" width="27.42578125" style="192" customWidth="1"/>
    <col min="12290" max="12291" width="11.42578125" style="192"/>
    <col min="12292" max="12292" width="15.140625" style="192" customWidth="1"/>
    <col min="12293" max="12293" width="12.42578125" style="192" customWidth="1"/>
    <col min="12294" max="12294" width="14.85546875" style="192" bestFit="1" customWidth="1"/>
    <col min="12295" max="12297" width="11.42578125" style="192"/>
    <col min="12298" max="12298" width="13.85546875" style="192" bestFit="1" customWidth="1"/>
    <col min="12299" max="12300" width="11.42578125" style="192"/>
    <col min="12301" max="12301" width="25.7109375" style="192" customWidth="1"/>
    <col min="12302" max="12544" width="11.42578125" style="192"/>
    <col min="12545" max="12545" width="27.42578125" style="192" customWidth="1"/>
    <col min="12546" max="12547" width="11.42578125" style="192"/>
    <col min="12548" max="12548" width="15.140625" style="192" customWidth="1"/>
    <col min="12549" max="12549" width="12.42578125" style="192" customWidth="1"/>
    <col min="12550" max="12550" width="14.85546875" style="192" bestFit="1" customWidth="1"/>
    <col min="12551" max="12553" width="11.42578125" style="192"/>
    <col min="12554" max="12554" width="13.85546875" style="192" bestFit="1" customWidth="1"/>
    <col min="12555" max="12556" width="11.42578125" style="192"/>
    <col min="12557" max="12557" width="25.7109375" style="192" customWidth="1"/>
    <col min="12558" max="12800" width="11.42578125" style="192"/>
    <col min="12801" max="12801" width="27.42578125" style="192" customWidth="1"/>
    <col min="12802" max="12803" width="11.42578125" style="192"/>
    <col min="12804" max="12804" width="15.140625" style="192" customWidth="1"/>
    <col min="12805" max="12805" width="12.42578125" style="192" customWidth="1"/>
    <col min="12806" max="12806" width="14.85546875" style="192" bestFit="1" customWidth="1"/>
    <col min="12807" max="12809" width="11.42578125" style="192"/>
    <col min="12810" max="12810" width="13.85546875" style="192" bestFit="1" customWidth="1"/>
    <col min="12811" max="12812" width="11.42578125" style="192"/>
    <col min="12813" max="12813" width="25.7109375" style="192" customWidth="1"/>
    <col min="12814" max="13056" width="11.42578125" style="192"/>
    <col min="13057" max="13057" width="27.42578125" style="192" customWidth="1"/>
    <col min="13058" max="13059" width="11.42578125" style="192"/>
    <col min="13060" max="13060" width="15.140625" style="192" customWidth="1"/>
    <col min="13061" max="13061" width="12.42578125" style="192" customWidth="1"/>
    <col min="13062" max="13062" width="14.85546875" style="192" bestFit="1" customWidth="1"/>
    <col min="13063" max="13065" width="11.42578125" style="192"/>
    <col min="13066" max="13066" width="13.85546875" style="192" bestFit="1" customWidth="1"/>
    <col min="13067" max="13068" width="11.42578125" style="192"/>
    <col min="13069" max="13069" width="25.7109375" style="192" customWidth="1"/>
    <col min="13070" max="13312" width="11.42578125" style="192"/>
    <col min="13313" max="13313" width="27.42578125" style="192" customWidth="1"/>
    <col min="13314" max="13315" width="11.42578125" style="192"/>
    <col min="13316" max="13316" width="15.140625" style="192" customWidth="1"/>
    <col min="13317" max="13317" width="12.42578125" style="192" customWidth="1"/>
    <col min="13318" max="13318" width="14.85546875" style="192" bestFit="1" customWidth="1"/>
    <col min="13319" max="13321" width="11.42578125" style="192"/>
    <col min="13322" max="13322" width="13.85546875" style="192" bestFit="1" customWidth="1"/>
    <col min="13323" max="13324" width="11.42578125" style="192"/>
    <col min="13325" max="13325" width="25.7109375" style="192" customWidth="1"/>
    <col min="13326" max="13568" width="11.42578125" style="192"/>
    <col min="13569" max="13569" width="27.42578125" style="192" customWidth="1"/>
    <col min="13570" max="13571" width="11.42578125" style="192"/>
    <col min="13572" max="13572" width="15.140625" style="192" customWidth="1"/>
    <col min="13573" max="13573" width="12.42578125" style="192" customWidth="1"/>
    <col min="13574" max="13574" width="14.85546875" style="192" bestFit="1" customWidth="1"/>
    <col min="13575" max="13577" width="11.42578125" style="192"/>
    <col min="13578" max="13578" width="13.85546875" style="192" bestFit="1" customWidth="1"/>
    <col min="13579" max="13580" width="11.42578125" style="192"/>
    <col min="13581" max="13581" width="25.7109375" style="192" customWidth="1"/>
    <col min="13582" max="13824" width="11.42578125" style="192"/>
    <col min="13825" max="13825" width="27.42578125" style="192" customWidth="1"/>
    <col min="13826" max="13827" width="11.42578125" style="192"/>
    <col min="13828" max="13828" width="15.140625" style="192" customWidth="1"/>
    <col min="13829" max="13829" width="12.42578125" style="192" customWidth="1"/>
    <col min="13830" max="13830" width="14.85546875" style="192" bestFit="1" customWidth="1"/>
    <col min="13831" max="13833" width="11.42578125" style="192"/>
    <col min="13834" max="13834" width="13.85546875" style="192" bestFit="1" customWidth="1"/>
    <col min="13835" max="13836" width="11.42578125" style="192"/>
    <col min="13837" max="13837" width="25.7109375" style="192" customWidth="1"/>
    <col min="13838" max="14080" width="11.42578125" style="192"/>
    <col min="14081" max="14081" width="27.42578125" style="192" customWidth="1"/>
    <col min="14082" max="14083" width="11.42578125" style="192"/>
    <col min="14084" max="14084" width="15.140625" style="192" customWidth="1"/>
    <col min="14085" max="14085" width="12.42578125" style="192" customWidth="1"/>
    <col min="14086" max="14086" width="14.85546875" style="192" bestFit="1" customWidth="1"/>
    <col min="14087" max="14089" width="11.42578125" style="192"/>
    <col min="14090" max="14090" width="13.85546875" style="192" bestFit="1" customWidth="1"/>
    <col min="14091" max="14092" width="11.42578125" style="192"/>
    <col min="14093" max="14093" width="25.7109375" style="192" customWidth="1"/>
    <col min="14094" max="14336" width="11.42578125" style="192"/>
    <col min="14337" max="14337" width="27.42578125" style="192" customWidth="1"/>
    <col min="14338" max="14339" width="11.42578125" style="192"/>
    <col min="14340" max="14340" width="15.140625" style="192" customWidth="1"/>
    <col min="14341" max="14341" width="12.42578125" style="192" customWidth="1"/>
    <col min="14342" max="14342" width="14.85546875" style="192" bestFit="1" customWidth="1"/>
    <col min="14343" max="14345" width="11.42578125" style="192"/>
    <col min="14346" max="14346" width="13.85546875" style="192" bestFit="1" customWidth="1"/>
    <col min="14347" max="14348" width="11.42578125" style="192"/>
    <col min="14349" max="14349" width="25.7109375" style="192" customWidth="1"/>
    <col min="14350" max="14592" width="11.42578125" style="192"/>
    <col min="14593" max="14593" width="27.42578125" style="192" customWidth="1"/>
    <col min="14594" max="14595" width="11.42578125" style="192"/>
    <col min="14596" max="14596" width="15.140625" style="192" customWidth="1"/>
    <col min="14597" max="14597" width="12.42578125" style="192" customWidth="1"/>
    <col min="14598" max="14598" width="14.85546875" style="192" bestFit="1" customWidth="1"/>
    <col min="14599" max="14601" width="11.42578125" style="192"/>
    <col min="14602" max="14602" width="13.85546875" style="192" bestFit="1" customWidth="1"/>
    <col min="14603" max="14604" width="11.42578125" style="192"/>
    <col min="14605" max="14605" width="25.7109375" style="192" customWidth="1"/>
    <col min="14606" max="14848" width="11.42578125" style="192"/>
    <col min="14849" max="14849" width="27.42578125" style="192" customWidth="1"/>
    <col min="14850" max="14851" width="11.42578125" style="192"/>
    <col min="14852" max="14852" width="15.140625" style="192" customWidth="1"/>
    <col min="14853" max="14853" width="12.42578125" style="192" customWidth="1"/>
    <col min="14854" max="14854" width="14.85546875" style="192" bestFit="1" customWidth="1"/>
    <col min="14855" max="14857" width="11.42578125" style="192"/>
    <col min="14858" max="14858" width="13.85546875" style="192" bestFit="1" customWidth="1"/>
    <col min="14859" max="14860" width="11.42578125" style="192"/>
    <col min="14861" max="14861" width="25.7109375" style="192" customWidth="1"/>
    <col min="14862" max="15104" width="11.42578125" style="192"/>
    <col min="15105" max="15105" width="27.42578125" style="192" customWidth="1"/>
    <col min="15106" max="15107" width="11.42578125" style="192"/>
    <col min="15108" max="15108" width="15.140625" style="192" customWidth="1"/>
    <col min="15109" max="15109" width="12.42578125" style="192" customWidth="1"/>
    <col min="15110" max="15110" width="14.85546875" style="192" bestFit="1" customWidth="1"/>
    <col min="15111" max="15113" width="11.42578125" style="192"/>
    <col min="15114" max="15114" width="13.85546875" style="192" bestFit="1" customWidth="1"/>
    <col min="15115" max="15116" width="11.42578125" style="192"/>
    <col min="15117" max="15117" width="25.7109375" style="192" customWidth="1"/>
    <col min="15118" max="15360" width="11.42578125" style="192"/>
    <col min="15361" max="15361" width="27.42578125" style="192" customWidth="1"/>
    <col min="15362" max="15363" width="11.42578125" style="192"/>
    <col min="15364" max="15364" width="15.140625" style="192" customWidth="1"/>
    <col min="15365" max="15365" width="12.42578125" style="192" customWidth="1"/>
    <col min="15366" max="15366" width="14.85546875" style="192" bestFit="1" customWidth="1"/>
    <col min="15367" max="15369" width="11.42578125" style="192"/>
    <col min="15370" max="15370" width="13.85546875" style="192" bestFit="1" customWidth="1"/>
    <col min="15371" max="15372" width="11.42578125" style="192"/>
    <col min="15373" max="15373" width="25.7109375" style="192" customWidth="1"/>
    <col min="15374" max="15616" width="11.42578125" style="192"/>
    <col min="15617" max="15617" width="27.42578125" style="192" customWidth="1"/>
    <col min="15618" max="15619" width="11.42578125" style="192"/>
    <col min="15620" max="15620" width="15.140625" style="192" customWidth="1"/>
    <col min="15621" max="15621" width="12.42578125" style="192" customWidth="1"/>
    <col min="15622" max="15622" width="14.85546875" style="192" bestFit="1" customWidth="1"/>
    <col min="15623" max="15625" width="11.42578125" style="192"/>
    <col min="15626" max="15626" width="13.85546875" style="192" bestFit="1" customWidth="1"/>
    <col min="15627" max="15628" width="11.42578125" style="192"/>
    <col min="15629" max="15629" width="25.7109375" style="192" customWidth="1"/>
    <col min="15630" max="15872" width="11.42578125" style="192"/>
    <col min="15873" max="15873" width="27.42578125" style="192" customWidth="1"/>
    <col min="15874" max="15875" width="11.42578125" style="192"/>
    <col min="15876" max="15876" width="15.140625" style="192" customWidth="1"/>
    <col min="15877" max="15877" width="12.42578125" style="192" customWidth="1"/>
    <col min="15878" max="15878" width="14.85546875" style="192" bestFit="1" customWidth="1"/>
    <col min="15879" max="15881" width="11.42578125" style="192"/>
    <col min="15882" max="15882" width="13.85546875" style="192" bestFit="1" customWidth="1"/>
    <col min="15883" max="15884" width="11.42578125" style="192"/>
    <col min="15885" max="15885" width="25.7109375" style="192" customWidth="1"/>
    <col min="15886" max="16128" width="11.42578125" style="192"/>
    <col min="16129" max="16129" width="27.42578125" style="192" customWidth="1"/>
    <col min="16130" max="16131" width="11.42578125" style="192"/>
    <col min="16132" max="16132" width="15.140625" style="192" customWidth="1"/>
    <col min="16133" max="16133" width="12.42578125" style="192" customWidth="1"/>
    <col min="16134" max="16134" width="14.85546875" style="192" bestFit="1" customWidth="1"/>
    <col min="16135" max="16137" width="11.42578125" style="192"/>
    <col min="16138" max="16138" width="13.85546875" style="192" bestFit="1" customWidth="1"/>
    <col min="16139" max="16140" width="11.42578125" style="192"/>
    <col min="16141" max="16141" width="25.7109375" style="192" customWidth="1"/>
    <col min="16142" max="16384" width="11.42578125" style="192"/>
  </cols>
  <sheetData>
    <row r="1" spans="1:13">
      <c r="A1" s="335"/>
      <c r="B1" s="336" t="s">
        <v>356</v>
      </c>
      <c r="C1" s="337"/>
      <c r="D1" s="337"/>
      <c r="E1" s="337"/>
      <c r="F1" s="337"/>
      <c r="G1" s="337"/>
      <c r="H1" s="337"/>
      <c r="I1" s="337"/>
      <c r="J1" s="338"/>
      <c r="K1" s="329" t="s">
        <v>357</v>
      </c>
      <c r="L1" s="330"/>
    </row>
    <row r="2" spans="1:13">
      <c r="A2" s="335"/>
      <c r="B2" s="339"/>
      <c r="C2" s="340"/>
      <c r="D2" s="340"/>
      <c r="E2" s="340"/>
      <c r="F2" s="340"/>
      <c r="G2" s="340"/>
      <c r="H2" s="340"/>
      <c r="I2" s="340"/>
      <c r="J2" s="341"/>
      <c r="K2" s="331" t="s">
        <v>358</v>
      </c>
      <c r="L2" s="332"/>
    </row>
    <row r="3" spans="1:13" ht="13.5" thickBot="1">
      <c r="A3" s="335"/>
      <c r="B3" s="342"/>
      <c r="C3" s="343"/>
      <c r="D3" s="343"/>
      <c r="E3" s="343"/>
      <c r="F3" s="343"/>
      <c r="G3" s="343"/>
      <c r="H3" s="343"/>
      <c r="I3" s="343"/>
      <c r="J3" s="344"/>
      <c r="K3" s="333" t="s">
        <v>359</v>
      </c>
      <c r="L3" s="334"/>
    </row>
    <row r="4" spans="1:13" s="253" customFormat="1" ht="27" customHeight="1">
      <c r="A4" s="353" t="s">
        <v>317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</row>
    <row r="5" spans="1:13" ht="12.75" customHeight="1">
      <c r="A5" s="281" t="s">
        <v>44</v>
      </c>
      <c r="B5" s="281" t="s">
        <v>2</v>
      </c>
      <c r="C5" s="282" t="s">
        <v>3</v>
      </c>
      <c r="D5" s="282" t="s">
        <v>4</v>
      </c>
      <c r="E5" s="282" t="s">
        <v>5</v>
      </c>
      <c r="F5" s="282" t="s">
        <v>6</v>
      </c>
      <c r="G5" s="282"/>
      <c r="H5" s="282"/>
      <c r="I5" s="282"/>
      <c r="J5" s="282"/>
      <c r="K5" s="282"/>
      <c r="L5" s="282"/>
    </row>
    <row r="6" spans="1:13" ht="38.25">
      <c r="A6" s="281"/>
      <c r="B6" s="281"/>
      <c r="C6" s="282"/>
      <c r="D6" s="282"/>
      <c r="E6" s="282"/>
      <c r="F6" s="210" t="s">
        <v>7</v>
      </c>
      <c r="G6" s="210" t="s">
        <v>8</v>
      </c>
      <c r="H6" s="210" t="s">
        <v>9</v>
      </c>
      <c r="I6" s="210" t="s">
        <v>10</v>
      </c>
      <c r="J6" s="210" t="s">
        <v>11</v>
      </c>
      <c r="K6" s="210" t="s">
        <v>12</v>
      </c>
      <c r="L6" s="210" t="s">
        <v>13</v>
      </c>
    </row>
    <row r="7" spans="1:13" ht="25.5">
      <c r="A7" s="168" t="s">
        <v>324</v>
      </c>
      <c r="B7" s="245" t="s">
        <v>15</v>
      </c>
      <c r="C7" s="80">
        <v>30</v>
      </c>
      <c r="D7" s="34"/>
      <c r="E7" s="34"/>
      <c r="F7" s="34"/>
      <c r="G7" s="34"/>
      <c r="H7" s="34"/>
      <c r="I7" s="34"/>
      <c r="J7" s="34"/>
      <c r="K7" s="34"/>
      <c r="L7" s="34"/>
    </row>
    <row r="8" spans="1:13" ht="38.25">
      <c r="A8" s="184" t="s">
        <v>325</v>
      </c>
      <c r="B8" s="246" t="s">
        <v>34</v>
      </c>
      <c r="C8" s="181">
        <v>2</v>
      </c>
      <c r="D8" s="247"/>
      <c r="E8" s="247"/>
      <c r="F8" s="247">
        <v>150000000</v>
      </c>
      <c r="G8" s="248"/>
      <c r="H8" s="248"/>
      <c r="I8" s="248"/>
      <c r="J8" s="248"/>
      <c r="K8" s="248"/>
      <c r="L8" s="248"/>
    </row>
    <row r="9" spans="1:13">
      <c r="A9" s="52" t="s">
        <v>326</v>
      </c>
      <c r="B9" s="249" t="s">
        <v>24</v>
      </c>
      <c r="C9" s="172"/>
      <c r="D9" s="247">
        <v>50000000</v>
      </c>
      <c r="E9" s="247">
        <v>50000000</v>
      </c>
      <c r="F9" s="247"/>
      <c r="G9" s="248"/>
      <c r="H9" s="248"/>
      <c r="I9" s="248"/>
      <c r="J9" s="248"/>
      <c r="K9" s="248"/>
      <c r="L9" s="248"/>
    </row>
    <row r="10" spans="1:13" ht="25.5">
      <c r="A10" s="52" t="s">
        <v>327</v>
      </c>
      <c r="B10" s="249" t="s">
        <v>24</v>
      </c>
      <c r="C10" s="172"/>
      <c r="D10" s="247">
        <v>100000000</v>
      </c>
      <c r="E10" s="247">
        <v>100000000</v>
      </c>
      <c r="F10" s="247"/>
      <c r="G10" s="248"/>
      <c r="H10" s="248"/>
      <c r="I10" s="248"/>
      <c r="J10" s="248"/>
      <c r="K10" s="248"/>
      <c r="L10" s="248"/>
    </row>
    <row r="11" spans="1:13" ht="38.25">
      <c r="A11" s="184" t="s">
        <v>328</v>
      </c>
      <c r="B11" s="250" t="s">
        <v>329</v>
      </c>
      <c r="C11" s="181">
        <v>1</v>
      </c>
      <c r="D11" s="24">
        <v>80000000</v>
      </c>
      <c r="E11" s="247">
        <f>+D11</f>
        <v>80000000</v>
      </c>
      <c r="F11" s="247">
        <f>+E11</f>
        <v>80000000</v>
      </c>
      <c r="G11" s="248"/>
      <c r="H11" s="248"/>
      <c r="I11" s="248"/>
      <c r="J11" s="248"/>
      <c r="K11" s="248"/>
      <c r="L11" s="248"/>
    </row>
    <row r="12" spans="1:13" ht="38.25">
      <c r="A12" s="184" t="s">
        <v>330</v>
      </c>
      <c r="B12" s="246" t="s">
        <v>226</v>
      </c>
      <c r="C12" s="181">
        <v>1</v>
      </c>
      <c r="D12" s="247"/>
      <c r="E12" s="247"/>
      <c r="F12" s="247">
        <v>344183700</v>
      </c>
      <c r="G12" s="248"/>
      <c r="H12" s="248"/>
      <c r="I12" s="248"/>
      <c r="J12" s="248"/>
      <c r="K12" s="248"/>
      <c r="L12" s="248"/>
    </row>
    <row r="13" spans="1:13" ht="63.75">
      <c r="A13" s="52" t="s">
        <v>331</v>
      </c>
      <c r="B13" s="249" t="s">
        <v>24</v>
      </c>
      <c r="C13" s="172"/>
      <c r="D13" s="247">
        <v>344183700</v>
      </c>
      <c r="E13" s="247">
        <v>344183700</v>
      </c>
      <c r="F13" s="247"/>
      <c r="G13" s="248"/>
      <c r="H13" s="248"/>
      <c r="I13" s="248"/>
      <c r="J13" s="248"/>
      <c r="K13" s="248"/>
      <c r="L13" s="248"/>
      <c r="M13" s="251"/>
    </row>
    <row r="14" spans="1:13">
      <c r="A14" s="279" t="s">
        <v>37</v>
      </c>
      <c r="B14" s="279"/>
      <c r="C14" s="279"/>
      <c r="D14" s="279"/>
      <c r="E14" s="252">
        <f>SUM(E7:E13)</f>
        <v>574183700</v>
      </c>
      <c r="F14" s="252">
        <f>SUM(F7:F12)</f>
        <v>574183700</v>
      </c>
      <c r="G14" s="252">
        <f>SUM(G7:G12)</f>
        <v>0</v>
      </c>
      <c r="H14" s="252">
        <f>SUM(H7:H12)</f>
        <v>0</v>
      </c>
      <c r="I14" s="252">
        <f>SUM(I7:I12)</f>
        <v>0</v>
      </c>
      <c r="J14" s="252">
        <f>SUM(J7:J12)</f>
        <v>0</v>
      </c>
      <c r="K14" s="252">
        <f>SUM(K7:K12)</f>
        <v>0</v>
      </c>
      <c r="L14" s="252"/>
    </row>
    <row r="15" spans="1:13">
      <c r="A15" s="280"/>
      <c r="B15" s="280"/>
      <c r="C15" s="280"/>
      <c r="D15" s="280"/>
      <c r="E15" s="252">
        <f>+'FUENTES Y USOS'!S12</f>
        <v>574183700</v>
      </c>
      <c r="F15" s="252">
        <f>+'FUENTES Y USOS'!M12</f>
        <v>574183700</v>
      </c>
      <c r="G15" s="252">
        <f>+'FUENTES Y USOS'!N12</f>
        <v>0</v>
      </c>
      <c r="H15" s="252">
        <f>+'FUENTES Y USOS'!O12</f>
        <v>0</v>
      </c>
      <c r="I15" s="252">
        <f>+'FUENTES Y USOS'!P12</f>
        <v>0</v>
      </c>
      <c r="J15" s="252">
        <f>+'FUENTES Y USOS'!Q12</f>
        <v>0</v>
      </c>
      <c r="K15" s="252">
        <f>+'FUENTES Y USOS'!R12</f>
        <v>0</v>
      </c>
      <c r="L15" s="252"/>
    </row>
    <row r="16" spans="1:13">
      <c r="A16" s="279" t="s">
        <v>39</v>
      </c>
      <c r="B16" s="279"/>
      <c r="C16" s="279"/>
      <c r="D16" s="279"/>
      <c r="E16" s="202">
        <f>+E15-E14</f>
        <v>0</v>
      </c>
      <c r="F16" s="202">
        <f t="shared" ref="F16:L16" si="0">+F15-F14</f>
        <v>0</v>
      </c>
      <c r="G16" s="202">
        <f t="shared" si="0"/>
        <v>0</v>
      </c>
      <c r="H16" s="202">
        <f t="shared" si="0"/>
        <v>0</v>
      </c>
      <c r="I16" s="202">
        <f t="shared" si="0"/>
        <v>0</v>
      </c>
      <c r="J16" s="202">
        <f t="shared" si="0"/>
        <v>0</v>
      </c>
      <c r="K16" s="202">
        <f t="shared" si="0"/>
        <v>0</v>
      </c>
      <c r="L16" s="202">
        <f t="shared" si="0"/>
        <v>0</v>
      </c>
    </row>
    <row r="18" spans="1:5">
      <c r="A18" s="85"/>
      <c r="B18" s="292" t="s">
        <v>40</v>
      </c>
      <c r="C18" s="292"/>
      <c r="D18" s="292"/>
      <c r="E18" s="292"/>
    </row>
    <row r="19" spans="1:5">
      <c r="A19" s="86"/>
      <c r="B19" s="292" t="s">
        <v>42</v>
      </c>
      <c r="C19" s="292"/>
      <c r="D19" s="292"/>
      <c r="E19" s="292"/>
    </row>
  </sheetData>
  <mergeCells count="16">
    <mergeCell ref="B18:E18"/>
    <mergeCell ref="B19:E19"/>
    <mergeCell ref="B1:J3"/>
    <mergeCell ref="K1:L1"/>
    <mergeCell ref="K2:L2"/>
    <mergeCell ref="K3:L3"/>
    <mergeCell ref="A14:D14"/>
    <mergeCell ref="A15:D15"/>
    <mergeCell ref="A16:D16"/>
    <mergeCell ref="A4:L4"/>
    <mergeCell ref="A5:A6"/>
    <mergeCell ref="B5:B6"/>
    <mergeCell ref="C5:C6"/>
    <mergeCell ref="D5:D6"/>
    <mergeCell ref="E5:E6"/>
    <mergeCell ref="F5:L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sqref="A1:L3"/>
    </sheetView>
  </sheetViews>
  <sheetFormatPr baseColWidth="10" defaultRowHeight="15"/>
  <cols>
    <col min="1" max="1" width="31.7109375" customWidth="1"/>
    <col min="4" max="4" width="16.42578125" customWidth="1"/>
    <col min="5" max="5" width="15.140625" bestFit="1" customWidth="1"/>
    <col min="7" max="7" width="15" customWidth="1"/>
    <col min="8" max="8" width="13.7109375" customWidth="1"/>
    <col min="10" max="10" width="15.5703125" customWidth="1"/>
    <col min="11" max="11" width="13.85546875" customWidth="1"/>
    <col min="12" max="14" width="15.140625" bestFit="1" customWidth="1"/>
    <col min="16" max="16" width="14.140625" bestFit="1" customWidth="1"/>
    <col min="257" max="257" width="31.7109375" customWidth="1"/>
    <col min="260" max="260" width="16.42578125" customWidth="1"/>
    <col min="261" max="261" width="15.140625" bestFit="1" customWidth="1"/>
    <col min="263" max="263" width="15" customWidth="1"/>
    <col min="264" max="264" width="13.7109375" customWidth="1"/>
    <col min="266" max="266" width="15.5703125" customWidth="1"/>
    <col min="267" max="267" width="13.85546875" customWidth="1"/>
    <col min="268" max="270" width="15.140625" bestFit="1" customWidth="1"/>
    <col min="272" max="272" width="14.140625" bestFit="1" customWidth="1"/>
    <col min="513" max="513" width="31.7109375" customWidth="1"/>
    <col min="516" max="516" width="16.42578125" customWidth="1"/>
    <col min="517" max="517" width="15.140625" bestFit="1" customWidth="1"/>
    <col min="519" max="519" width="15" customWidth="1"/>
    <col min="520" max="520" width="13.7109375" customWidth="1"/>
    <col min="522" max="522" width="15.5703125" customWidth="1"/>
    <col min="523" max="523" width="13.85546875" customWidth="1"/>
    <col min="524" max="526" width="15.140625" bestFit="1" customWidth="1"/>
    <col min="528" max="528" width="14.140625" bestFit="1" customWidth="1"/>
    <col min="769" max="769" width="31.7109375" customWidth="1"/>
    <col min="772" max="772" width="16.42578125" customWidth="1"/>
    <col min="773" max="773" width="15.140625" bestFit="1" customWidth="1"/>
    <col min="775" max="775" width="15" customWidth="1"/>
    <col min="776" max="776" width="13.7109375" customWidth="1"/>
    <col min="778" max="778" width="15.5703125" customWidth="1"/>
    <col min="779" max="779" width="13.85546875" customWidth="1"/>
    <col min="780" max="782" width="15.140625" bestFit="1" customWidth="1"/>
    <col min="784" max="784" width="14.140625" bestFit="1" customWidth="1"/>
    <col min="1025" max="1025" width="31.7109375" customWidth="1"/>
    <col min="1028" max="1028" width="16.42578125" customWidth="1"/>
    <col min="1029" max="1029" width="15.140625" bestFit="1" customWidth="1"/>
    <col min="1031" max="1031" width="15" customWidth="1"/>
    <col min="1032" max="1032" width="13.7109375" customWidth="1"/>
    <col min="1034" max="1034" width="15.5703125" customWidth="1"/>
    <col min="1035" max="1035" width="13.85546875" customWidth="1"/>
    <col min="1036" max="1038" width="15.140625" bestFit="1" customWidth="1"/>
    <col min="1040" max="1040" width="14.140625" bestFit="1" customWidth="1"/>
    <col min="1281" max="1281" width="31.7109375" customWidth="1"/>
    <col min="1284" max="1284" width="16.42578125" customWidth="1"/>
    <col min="1285" max="1285" width="15.140625" bestFit="1" customWidth="1"/>
    <col min="1287" max="1287" width="15" customWidth="1"/>
    <col min="1288" max="1288" width="13.7109375" customWidth="1"/>
    <col min="1290" max="1290" width="15.5703125" customWidth="1"/>
    <col min="1291" max="1291" width="13.85546875" customWidth="1"/>
    <col min="1292" max="1294" width="15.140625" bestFit="1" customWidth="1"/>
    <col min="1296" max="1296" width="14.140625" bestFit="1" customWidth="1"/>
    <col min="1537" max="1537" width="31.7109375" customWidth="1"/>
    <col min="1540" max="1540" width="16.42578125" customWidth="1"/>
    <col min="1541" max="1541" width="15.140625" bestFit="1" customWidth="1"/>
    <col min="1543" max="1543" width="15" customWidth="1"/>
    <col min="1544" max="1544" width="13.7109375" customWidth="1"/>
    <col min="1546" max="1546" width="15.5703125" customWidth="1"/>
    <col min="1547" max="1547" width="13.85546875" customWidth="1"/>
    <col min="1548" max="1550" width="15.140625" bestFit="1" customWidth="1"/>
    <col min="1552" max="1552" width="14.140625" bestFit="1" customWidth="1"/>
    <col min="1793" max="1793" width="31.7109375" customWidth="1"/>
    <col min="1796" max="1796" width="16.42578125" customWidth="1"/>
    <col min="1797" max="1797" width="15.140625" bestFit="1" customWidth="1"/>
    <col min="1799" max="1799" width="15" customWidth="1"/>
    <col min="1800" max="1800" width="13.7109375" customWidth="1"/>
    <col min="1802" max="1802" width="15.5703125" customWidth="1"/>
    <col min="1803" max="1803" width="13.85546875" customWidth="1"/>
    <col min="1804" max="1806" width="15.140625" bestFit="1" customWidth="1"/>
    <col min="1808" max="1808" width="14.140625" bestFit="1" customWidth="1"/>
    <col min="2049" max="2049" width="31.7109375" customWidth="1"/>
    <col min="2052" max="2052" width="16.42578125" customWidth="1"/>
    <col min="2053" max="2053" width="15.140625" bestFit="1" customWidth="1"/>
    <col min="2055" max="2055" width="15" customWidth="1"/>
    <col min="2056" max="2056" width="13.7109375" customWidth="1"/>
    <col min="2058" max="2058" width="15.5703125" customWidth="1"/>
    <col min="2059" max="2059" width="13.85546875" customWidth="1"/>
    <col min="2060" max="2062" width="15.140625" bestFit="1" customWidth="1"/>
    <col min="2064" max="2064" width="14.140625" bestFit="1" customWidth="1"/>
    <col min="2305" max="2305" width="31.7109375" customWidth="1"/>
    <col min="2308" max="2308" width="16.42578125" customWidth="1"/>
    <col min="2309" max="2309" width="15.140625" bestFit="1" customWidth="1"/>
    <col min="2311" max="2311" width="15" customWidth="1"/>
    <col min="2312" max="2312" width="13.7109375" customWidth="1"/>
    <col min="2314" max="2314" width="15.5703125" customWidth="1"/>
    <col min="2315" max="2315" width="13.85546875" customWidth="1"/>
    <col min="2316" max="2318" width="15.140625" bestFit="1" customWidth="1"/>
    <col min="2320" max="2320" width="14.140625" bestFit="1" customWidth="1"/>
    <col min="2561" max="2561" width="31.7109375" customWidth="1"/>
    <col min="2564" max="2564" width="16.42578125" customWidth="1"/>
    <col min="2565" max="2565" width="15.140625" bestFit="1" customWidth="1"/>
    <col min="2567" max="2567" width="15" customWidth="1"/>
    <col min="2568" max="2568" width="13.7109375" customWidth="1"/>
    <col min="2570" max="2570" width="15.5703125" customWidth="1"/>
    <col min="2571" max="2571" width="13.85546875" customWidth="1"/>
    <col min="2572" max="2574" width="15.140625" bestFit="1" customWidth="1"/>
    <col min="2576" max="2576" width="14.140625" bestFit="1" customWidth="1"/>
    <col min="2817" max="2817" width="31.7109375" customWidth="1"/>
    <col min="2820" max="2820" width="16.42578125" customWidth="1"/>
    <col min="2821" max="2821" width="15.140625" bestFit="1" customWidth="1"/>
    <col min="2823" max="2823" width="15" customWidth="1"/>
    <col min="2824" max="2824" width="13.7109375" customWidth="1"/>
    <col min="2826" max="2826" width="15.5703125" customWidth="1"/>
    <col min="2827" max="2827" width="13.85546875" customWidth="1"/>
    <col min="2828" max="2830" width="15.140625" bestFit="1" customWidth="1"/>
    <col min="2832" max="2832" width="14.140625" bestFit="1" customWidth="1"/>
    <col min="3073" max="3073" width="31.7109375" customWidth="1"/>
    <col min="3076" max="3076" width="16.42578125" customWidth="1"/>
    <col min="3077" max="3077" width="15.140625" bestFit="1" customWidth="1"/>
    <col min="3079" max="3079" width="15" customWidth="1"/>
    <col min="3080" max="3080" width="13.7109375" customWidth="1"/>
    <col min="3082" max="3082" width="15.5703125" customWidth="1"/>
    <col min="3083" max="3083" width="13.85546875" customWidth="1"/>
    <col min="3084" max="3086" width="15.140625" bestFit="1" customWidth="1"/>
    <col min="3088" max="3088" width="14.140625" bestFit="1" customWidth="1"/>
    <col min="3329" max="3329" width="31.7109375" customWidth="1"/>
    <col min="3332" max="3332" width="16.42578125" customWidth="1"/>
    <col min="3333" max="3333" width="15.140625" bestFit="1" customWidth="1"/>
    <col min="3335" max="3335" width="15" customWidth="1"/>
    <col min="3336" max="3336" width="13.7109375" customWidth="1"/>
    <col min="3338" max="3338" width="15.5703125" customWidth="1"/>
    <col min="3339" max="3339" width="13.85546875" customWidth="1"/>
    <col min="3340" max="3342" width="15.140625" bestFit="1" customWidth="1"/>
    <col min="3344" max="3344" width="14.140625" bestFit="1" customWidth="1"/>
    <col min="3585" max="3585" width="31.7109375" customWidth="1"/>
    <col min="3588" max="3588" width="16.42578125" customWidth="1"/>
    <col min="3589" max="3589" width="15.140625" bestFit="1" customWidth="1"/>
    <col min="3591" max="3591" width="15" customWidth="1"/>
    <col min="3592" max="3592" width="13.7109375" customWidth="1"/>
    <col min="3594" max="3594" width="15.5703125" customWidth="1"/>
    <col min="3595" max="3595" width="13.85546875" customWidth="1"/>
    <col min="3596" max="3598" width="15.140625" bestFit="1" customWidth="1"/>
    <col min="3600" max="3600" width="14.140625" bestFit="1" customWidth="1"/>
    <col min="3841" max="3841" width="31.7109375" customWidth="1"/>
    <col min="3844" max="3844" width="16.42578125" customWidth="1"/>
    <col min="3845" max="3845" width="15.140625" bestFit="1" customWidth="1"/>
    <col min="3847" max="3847" width="15" customWidth="1"/>
    <col min="3848" max="3848" width="13.7109375" customWidth="1"/>
    <col min="3850" max="3850" width="15.5703125" customWidth="1"/>
    <col min="3851" max="3851" width="13.85546875" customWidth="1"/>
    <col min="3852" max="3854" width="15.140625" bestFit="1" customWidth="1"/>
    <col min="3856" max="3856" width="14.140625" bestFit="1" customWidth="1"/>
    <col min="4097" max="4097" width="31.7109375" customWidth="1"/>
    <col min="4100" max="4100" width="16.42578125" customWidth="1"/>
    <col min="4101" max="4101" width="15.140625" bestFit="1" customWidth="1"/>
    <col min="4103" max="4103" width="15" customWidth="1"/>
    <col min="4104" max="4104" width="13.7109375" customWidth="1"/>
    <col min="4106" max="4106" width="15.5703125" customWidth="1"/>
    <col min="4107" max="4107" width="13.85546875" customWidth="1"/>
    <col min="4108" max="4110" width="15.140625" bestFit="1" customWidth="1"/>
    <col min="4112" max="4112" width="14.140625" bestFit="1" customWidth="1"/>
    <col min="4353" max="4353" width="31.7109375" customWidth="1"/>
    <col min="4356" max="4356" width="16.42578125" customWidth="1"/>
    <col min="4357" max="4357" width="15.140625" bestFit="1" customWidth="1"/>
    <col min="4359" max="4359" width="15" customWidth="1"/>
    <col min="4360" max="4360" width="13.7109375" customWidth="1"/>
    <col min="4362" max="4362" width="15.5703125" customWidth="1"/>
    <col min="4363" max="4363" width="13.85546875" customWidth="1"/>
    <col min="4364" max="4366" width="15.140625" bestFit="1" customWidth="1"/>
    <col min="4368" max="4368" width="14.140625" bestFit="1" customWidth="1"/>
    <col min="4609" max="4609" width="31.7109375" customWidth="1"/>
    <col min="4612" max="4612" width="16.42578125" customWidth="1"/>
    <col min="4613" max="4613" width="15.140625" bestFit="1" customWidth="1"/>
    <col min="4615" max="4615" width="15" customWidth="1"/>
    <col min="4616" max="4616" width="13.7109375" customWidth="1"/>
    <col min="4618" max="4618" width="15.5703125" customWidth="1"/>
    <col min="4619" max="4619" width="13.85546875" customWidth="1"/>
    <col min="4620" max="4622" width="15.140625" bestFit="1" customWidth="1"/>
    <col min="4624" max="4624" width="14.140625" bestFit="1" customWidth="1"/>
    <col min="4865" max="4865" width="31.7109375" customWidth="1"/>
    <col min="4868" max="4868" width="16.42578125" customWidth="1"/>
    <col min="4869" max="4869" width="15.140625" bestFit="1" customWidth="1"/>
    <col min="4871" max="4871" width="15" customWidth="1"/>
    <col min="4872" max="4872" width="13.7109375" customWidth="1"/>
    <col min="4874" max="4874" width="15.5703125" customWidth="1"/>
    <col min="4875" max="4875" width="13.85546875" customWidth="1"/>
    <col min="4876" max="4878" width="15.140625" bestFit="1" customWidth="1"/>
    <col min="4880" max="4880" width="14.140625" bestFit="1" customWidth="1"/>
    <col min="5121" max="5121" width="31.7109375" customWidth="1"/>
    <col min="5124" max="5124" width="16.42578125" customWidth="1"/>
    <col min="5125" max="5125" width="15.140625" bestFit="1" customWidth="1"/>
    <col min="5127" max="5127" width="15" customWidth="1"/>
    <col min="5128" max="5128" width="13.7109375" customWidth="1"/>
    <col min="5130" max="5130" width="15.5703125" customWidth="1"/>
    <col min="5131" max="5131" width="13.85546875" customWidth="1"/>
    <col min="5132" max="5134" width="15.140625" bestFit="1" customWidth="1"/>
    <col min="5136" max="5136" width="14.140625" bestFit="1" customWidth="1"/>
    <col min="5377" max="5377" width="31.7109375" customWidth="1"/>
    <col min="5380" max="5380" width="16.42578125" customWidth="1"/>
    <col min="5381" max="5381" width="15.140625" bestFit="1" customWidth="1"/>
    <col min="5383" max="5383" width="15" customWidth="1"/>
    <col min="5384" max="5384" width="13.7109375" customWidth="1"/>
    <col min="5386" max="5386" width="15.5703125" customWidth="1"/>
    <col min="5387" max="5387" width="13.85546875" customWidth="1"/>
    <col min="5388" max="5390" width="15.140625" bestFit="1" customWidth="1"/>
    <col min="5392" max="5392" width="14.140625" bestFit="1" customWidth="1"/>
    <col min="5633" max="5633" width="31.7109375" customWidth="1"/>
    <col min="5636" max="5636" width="16.42578125" customWidth="1"/>
    <col min="5637" max="5637" width="15.140625" bestFit="1" customWidth="1"/>
    <col min="5639" max="5639" width="15" customWidth="1"/>
    <col min="5640" max="5640" width="13.7109375" customWidth="1"/>
    <col min="5642" max="5642" width="15.5703125" customWidth="1"/>
    <col min="5643" max="5643" width="13.85546875" customWidth="1"/>
    <col min="5644" max="5646" width="15.140625" bestFit="1" customWidth="1"/>
    <col min="5648" max="5648" width="14.140625" bestFit="1" customWidth="1"/>
    <col min="5889" max="5889" width="31.7109375" customWidth="1"/>
    <col min="5892" max="5892" width="16.42578125" customWidth="1"/>
    <col min="5893" max="5893" width="15.140625" bestFit="1" customWidth="1"/>
    <col min="5895" max="5895" width="15" customWidth="1"/>
    <col min="5896" max="5896" width="13.7109375" customWidth="1"/>
    <col min="5898" max="5898" width="15.5703125" customWidth="1"/>
    <col min="5899" max="5899" width="13.85546875" customWidth="1"/>
    <col min="5900" max="5902" width="15.140625" bestFit="1" customWidth="1"/>
    <col min="5904" max="5904" width="14.140625" bestFit="1" customWidth="1"/>
    <col min="6145" max="6145" width="31.7109375" customWidth="1"/>
    <col min="6148" max="6148" width="16.42578125" customWidth="1"/>
    <col min="6149" max="6149" width="15.140625" bestFit="1" customWidth="1"/>
    <col min="6151" max="6151" width="15" customWidth="1"/>
    <col min="6152" max="6152" width="13.7109375" customWidth="1"/>
    <col min="6154" max="6154" width="15.5703125" customWidth="1"/>
    <col min="6155" max="6155" width="13.85546875" customWidth="1"/>
    <col min="6156" max="6158" width="15.140625" bestFit="1" customWidth="1"/>
    <col min="6160" max="6160" width="14.140625" bestFit="1" customWidth="1"/>
    <col min="6401" max="6401" width="31.7109375" customWidth="1"/>
    <col min="6404" max="6404" width="16.42578125" customWidth="1"/>
    <col min="6405" max="6405" width="15.140625" bestFit="1" customWidth="1"/>
    <col min="6407" max="6407" width="15" customWidth="1"/>
    <col min="6408" max="6408" width="13.7109375" customWidth="1"/>
    <col min="6410" max="6410" width="15.5703125" customWidth="1"/>
    <col min="6411" max="6411" width="13.85546875" customWidth="1"/>
    <col min="6412" max="6414" width="15.140625" bestFit="1" customWidth="1"/>
    <col min="6416" max="6416" width="14.140625" bestFit="1" customWidth="1"/>
    <col min="6657" max="6657" width="31.7109375" customWidth="1"/>
    <col min="6660" max="6660" width="16.42578125" customWidth="1"/>
    <col min="6661" max="6661" width="15.140625" bestFit="1" customWidth="1"/>
    <col min="6663" max="6663" width="15" customWidth="1"/>
    <col min="6664" max="6664" width="13.7109375" customWidth="1"/>
    <col min="6666" max="6666" width="15.5703125" customWidth="1"/>
    <col min="6667" max="6667" width="13.85546875" customWidth="1"/>
    <col min="6668" max="6670" width="15.140625" bestFit="1" customWidth="1"/>
    <col min="6672" max="6672" width="14.140625" bestFit="1" customWidth="1"/>
    <col min="6913" max="6913" width="31.7109375" customWidth="1"/>
    <col min="6916" max="6916" width="16.42578125" customWidth="1"/>
    <col min="6917" max="6917" width="15.140625" bestFit="1" customWidth="1"/>
    <col min="6919" max="6919" width="15" customWidth="1"/>
    <col min="6920" max="6920" width="13.7109375" customWidth="1"/>
    <col min="6922" max="6922" width="15.5703125" customWidth="1"/>
    <col min="6923" max="6923" width="13.85546875" customWidth="1"/>
    <col min="6924" max="6926" width="15.140625" bestFit="1" customWidth="1"/>
    <col min="6928" max="6928" width="14.140625" bestFit="1" customWidth="1"/>
    <col min="7169" max="7169" width="31.7109375" customWidth="1"/>
    <col min="7172" max="7172" width="16.42578125" customWidth="1"/>
    <col min="7173" max="7173" width="15.140625" bestFit="1" customWidth="1"/>
    <col min="7175" max="7175" width="15" customWidth="1"/>
    <col min="7176" max="7176" width="13.7109375" customWidth="1"/>
    <col min="7178" max="7178" width="15.5703125" customWidth="1"/>
    <col min="7179" max="7179" width="13.85546875" customWidth="1"/>
    <col min="7180" max="7182" width="15.140625" bestFit="1" customWidth="1"/>
    <col min="7184" max="7184" width="14.140625" bestFit="1" customWidth="1"/>
    <col min="7425" max="7425" width="31.7109375" customWidth="1"/>
    <col min="7428" max="7428" width="16.42578125" customWidth="1"/>
    <col min="7429" max="7429" width="15.140625" bestFit="1" customWidth="1"/>
    <col min="7431" max="7431" width="15" customWidth="1"/>
    <col min="7432" max="7432" width="13.7109375" customWidth="1"/>
    <col min="7434" max="7434" width="15.5703125" customWidth="1"/>
    <col min="7435" max="7435" width="13.85546875" customWidth="1"/>
    <col min="7436" max="7438" width="15.140625" bestFit="1" customWidth="1"/>
    <col min="7440" max="7440" width="14.140625" bestFit="1" customWidth="1"/>
    <col min="7681" max="7681" width="31.7109375" customWidth="1"/>
    <col min="7684" max="7684" width="16.42578125" customWidth="1"/>
    <col min="7685" max="7685" width="15.140625" bestFit="1" customWidth="1"/>
    <col min="7687" max="7687" width="15" customWidth="1"/>
    <col min="7688" max="7688" width="13.7109375" customWidth="1"/>
    <col min="7690" max="7690" width="15.5703125" customWidth="1"/>
    <col min="7691" max="7691" width="13.85546875" customWidth="1"/>
    <col min="7692" max="7694" width="15.140625" bestFit="1" customWidth="1"/>
    <col min="7696" max="7696" width="14.140625" bestFit="1" customWidth="1"/>
    <col min="7937" max="7937" width="31.7109375" customWidth="1"/>
    <col min="7940" max="7940" width="16.42578125" customWidth="1"/>
    <col min="7941" max="7941" width="15.140625" bestFit="1" customWidth="1"/>
    <col min="7943" max="7943" width="15" customWidth="1"/>
    <col min="7944" max="7944" width="13.7109375" customWidth="1"/>
    <col min="7946" max="7946" width="15.5703125" customWidth="1"/>
    <col min="7947" max="7947" width="13.85546875" customWidth="1"/>
    <col min="7948" max="7950" width="15.140625" bestFit="1" customWidth="1"/>
    <col min="7952" max="7952" width="14.140625" bestFit="1" customWidth="1"/>
    <col min="8193" max="8193" width="31.7109375" customWidth="1"/>
    <col min="8196" max="8196" width="16.42578125" customWidth="1"/>
    <col min="8197" max="8197" width="15.140625" bestFit="1" customWidth="1"/>
    <col min="8199" max="8199" width="15" customWidth="1"/>
    <col min="8200" max="8200" width="13.7109375" customWidth="1"/>
    <col min="8202" max="8202" width="15.5703125" customWidth="1"/>
    <col min="8203" max="8203" width="13.85546875" customWidth="1"/>
    <col min="8204" max="8206" width="15.140625" bestFit="1" customWidth="1"/>
    <col min="8208" max="8208" width="14.140625" bestFit="1" customWidth="1"/>
    <col min="8449" max="8449" width="31.7109375" customWidth="1"/>
    <col min="8452" max="8452" width="16.42578125" customWidth="1"/>
    <col min="8453" max="8453" width="15.140625" bestFit="1" customWidth="1"/>
    <col min="8455" max="8455" width="15" customWidth="1"/>
    <col min="8456" max="8456" width="13.7109375" customWidth="1"/>
    <col min="8458" max="8458" width="15.5703125" customWidth="1"/>
    <col min="8459" max="8459" width="13.85546875" customWidth="1"/>
    <col min="8460" max="8462" width="15.140625" bestFit="1" customWidth="1"/>
    <col min="8464" max="8464" width="14.140625" bestFit="1" customWidth="1"/>
    <col min="8705" max="8705" width="31.7109375" customWidth="1"/>
    <col min="8708" max="8708" width="16.42578125" customWidth="1"/>
    <col min="8709" max="8709" width="15.140625" bestFit="1" customWidth="1"/>
    <col min="8711" max="8711" width="15" customWidth="1"/>
    <col min="8712" max="8712" width="13.7109375" customWidth="1"/>
    <col min="8714" max="8714" width="15.5703125" customWidth="1"/>
    <col min="8715" max="8715" width="13.85546875" customWidth="1"/>
    <col min="8716" max="8718" width="15.140625" bestFit="1" customWidth="1"/>
    <col min="8720" max="8720" width="14.140625" bestFit="1" customWidth="1"/>
    <col min="8961" max="8961" width="31.7109375" customWidth="1"/>
    <col min="8964" max="8964" width="16.42578125" customWidth="1"/>
    <col min="8965" max="8965" width="15.140625" bestFit="1" customWidth="1"/>
    <col min="8967" max="8967" width="15" customWidth="1"/>
    <col min="8968" max="8968" width="13.7109375" customWidth="1"/>
    <col min="8970" max="8970" width="15.5703125" customWidth="1"/>
    <col min="8971" max="8971" width="13.85546875" customWidth="1"/>
    <col min="8972" max="8974" width="15.140625" bestFit="1" customWidth="1"/>
    <col min="8976" max="8976" width="14.140625" bestFit="1" customWidth="1"/>
    <col min="9217" max="9217" width="31.7109375" customWidth="1"/>
    <col min="9220" max="9220" width="16.42578125" customWidth="1"/>
    <col min="9221" max="9221" width="15.140625" bestFit="1" customWidth="1"/>
    <col min="9223" max="9223" width="15" customWidth="1"/>
    <col min="9224" max="9224" width="13.7109375" customWidth="1"/>
    <col min="9226" max="9226" width="15.5703125" customWidth="1"/>
    <col min="9227" max="9227" width="13.85546875" customWidth="1"/>
    <col min="9228" max="9230" width="15.140625" bestFit="1" customWidth="1"/>
    <col min="9232" max="9232" width="14.140625" bestFit="1" customWidth="1"/>
    <col min="9473" max="9473" width="31.7109375" customWidth="1"/>
    <col min="9476" max="9476" width="16.42578125" customWidth="1"/>
    <col min="9477" max="9477" width="15.140625" bestFit="1" customWidth="1"/>
    <col min="9479" max="9479" width="15" customWidth="1"/>
    <col min="9480" max="9480" width="13.7109375" customWidth="1"/>
    <col min="9482" max="9482" width="15.5703125" customWidth="1"/>
    <col min="9483" max="9483" width="13.85546875" customWidth="1"/>
    <col min="9484" max="9486" width="15.140625" bestFit="1" customWidth="1"/>
    <col min="9488" max="9488" width="14.140625" bestFit="1" customWidth="1"/>
    <col min="9729" max="9729" width="31.7109375" customWidth="1"/>
    <col min="9732" max="9732" width="16.42578125" customWidth="1"/>
    <col min="9733" max="9733" width="15.140625" bestFit="1" customWidth="1"/>
    <col min="9735" max="9735" width="15" customWidth="1"/>
    <col min="9736" max="9736" width="13.7109375" customWidth="1"/>
    <col min="9738" max="9738" width="15.5703125" customWidth="1"/>
    <col min="9739" max="9739" width="13.85546875" customWidth="1"/>
    <col min="9740" max="9742" width="15.140625" bestFit="1" customWidth="1"/>
    <col min="9744" max="9744" width="14.140625" bestFit="1" customWidth="1"/>
    <col min="9985" max="9985" width="31.7109375" customWidth="1"/>
    <col min="9988" max="9988" width="16.42578125" customWidth="1"/>
    <col min="9989" max="9989" width="15.140625" bestFit="1" customWidth="1"/>
    <col min="9991" max="9991" width="15" customWidth="1"/>
    <col min="9992" max="9992" width="13.7109375" customWidth="1"/>
    <col min="9994" max="9994" width="15.5703125" customWidth="1"/>
    <col min="9995" max="9995" width="13.85546875" customWidth="1"/>
    <col min="9996" max="9998" width="15.140625" bestFit="1" customWidth="1"/>
    <col min="10000" max="10000" width="14.140625" bestFit="1" customWidth="1"/>
    <col min="10241" max="10241" width="31.7109375" customWidth="1"/>
    <col min="10244" max="10244" width="16.42578125" customWidth="1"/>
    <col min="10245" max="10245" width="15.140625" bestFit="1" customWidth="1"/>
    <col min="10247" max="10247" width="15" customWidth="1"/>
    <col min="10248" max="10248" width="13.7109375" customWidth="1"/>
    <col min="10250" max="10250" width="15.5703125" customWidth="1"/>
    <col min="10251" max="10251" width="13.85546875" customWidth="1"/>
    <col min="10252" max="10254" width="15.140625" bestFit="1" customWidth="1"/>
    <col min="10256" max="10256" width="14.140625" bestFit="1" customWidth="1"/>
    <col min="10497" max="10497" width="31.7109375" customWidth="1"/>
    <col min="10500" max="10500" width="16.42578125" customWidth="1"/>
    <col min="10501" max="10501" width="15.140625" bestFit="1" customWidth="1"/>
    <col min="10503" max="10503" width="15" customWidth="1"/>
    <col min="10504" max="10504" width="13.7109375" customWidth="1"/>
    <col min="10506" max="10506" width="15.5703125" customWidth="1"/>
    <col min="10507" max="10507" width="13.85546875" customWidth="1"/>
    <col min="10508" max="10510" width="15.140625" bestFit="1" customWidth="1"/>
    <col min="10512" max="10512" width="14.140625" bestFit="1" customWidth="1"/>
    <col min="10753" max="10753" width="31.7109375" customWidth="1"/>
    <col min="10756" max="10756" width="16.42578125" customWidth="1"/>
    <col min="10757" max="10757" width="15.140625" bestFit="1" customWidth="1"/>
    <col min="10759" max="10759" width="15" customWidth="1"/>
    <col min="10760" max="10760" width="13.7109375" customWidth="1"/>
    <col min="10762" max="10762" width="15.5703125" customWidth="1"/>
    <col min="10763" max="10763" width="13.85546875" customWidth="1"/>
    <col min="10764" max="10766" width="15.140625" bestFit="1" customWidth="1"/>
    <col min="10768" max="10768" width="14.140625" bestFit="1" customWidth="1"/>
    <col min="11009" max="11009" width="31.7109375" customWidth="1"/>
    <col min="11012" max="11012" width="16.42578125" customWidth="1"/>
    <col min="11013" max="11013" width="15.140625" bestFit="1" customWidth="1"/>
    <col min="11015" max="11015" width="15" customWidth="1"/>
    <col min="11016" max="11016" width="13.7109375" customWidth="1"/>
    <col min="11018" max="11018" width="15.5703125" customWidth="1"/>
    <col min="11019" max="11019" width="13.85546875" customWidth="1"/>
    <col min="11020" max="11022" width="15.140625" bestFit="1" customWidth="1"/>
    <col min="11024" max="11024" width="14.140625" bestFit="1" customWidth="1"/>
    <col min="11265" max="11265" width="31.7109375" customWidth="1"/>
    <col min="11268" max="11268" width="16.42578125" customWidth="1"/>
    <col min="11269" max="11269" width="15.140625" bestFit="1" customWidth="1"/>
    <col min="11271" max="11271" width="15" customWidth="1"/>
    <col min="11272" max="11272" width="13.7109375" customWidth="1"/>
    <col min="11274" max="11274" width="15.5703125" customWidth="1"/>
    <col min="11275" max="11275" width="13.85546875" customWidth="1"/>
    <col min="11276" max="11278" width="15.140625" bestFit="1" customWidth="1"/>
    <col min="11280" max="11280" width="14.140625" bestFit="1" customWidth="1"/>
    <col min="11521" max="11521" width="31.7109375" customWidth="1"/>
    <col min="11524" max="11524" width="16.42578125" customWidth="1"/>
    <col min="11525" max="11525" width="15.140625" bestFit="1" customWidth="1"/>
    <col min="11527" max="11527" width="15" customWidth="1"/>
    <col min="11528" max="11528" width="13.7109375" customWidth="1"/>
    <col min="11530" max="11530" width="15.5703125" customWidth="1"/>
    <col min="11531" max="11531" width="13.85546875" customWidth="1"/>
    <col min="11532" max="11534" width="15.140625" bestFit="1" customWidth="1"/>
    <col min="11536" max="11536" width="14.140625" bestFit="1" customWidth="1"/>
    <col min="11777" max="11777" width="31.7109375" customWidth="1"/>
    <col min="11780" max="11780" width="16.42578125" customWidth="1"/>
    <col min="11781" max="11781" width="15.140625" bestFit="1" customWidth="1"/>
    <col min="11783" max="11783" width="15" customWidth="1"/>
    <col min="11784" max="11784" width="13.7109375" customWidth="1"/>
    <col min="11786" max="11786" width="15.5703125" customWidth="1"/>
    <col min="11787" max="11787" width="13.85546875" customWidth="1"/>
    <col min="11788" max="11790" width="15.140625" bestFit="1" customWidth="1"/>
    <col min="11792" max="11792" width="14.140625" bestFit="1" customWidth="1"/>
    <col min="12033" max="12033" width="31.7109375" customWidth="1"/>
    <col min="12036" max="12036" width="16.42578125" customWidth="1"/>
    <col min="12037" max="12037" width="15.140625" bestFit="1" customWidth="1"/>
    <col min="12039" max="12039" width="15" customWidth="1"/>
    <col min="12040" max="12040" width="13.7109375" customWidth="1"/>
    <col min="12042" max="12042" width="15.5703125" customWidth="1"/>
    <col min="12043" max="12043" width="13.85546875" customWidth="1"/>
    <col min="12044" max="12046" width="15.140625" bestFit="1" customWidth="1"/>
    <col min="12048" max="12048" width="14.140625" bestFit="1" customWidth="1"/>
    <col min="12289" max="12289" width="31.7109375" customWidth="1"/>
    <col min="12292" max="12292" width="16.42578125" customWidth="1"/>
    <col min="12293" max="12293" width="15.140625" bestFit="1" customWidth="1"/>
    <col min="12295" max="12295" width="15" customWidth="1"/>
    <col min="12296" max="12296" width="13.7109375" customWidth="1"/>
    <col min="12298" max="12298" width="15.5703125" customWidth="1"/>
    <col min="12299" max="12299" width="13.85546875" customWidth="1"/>
    <col min="12300" max="12302" width="15.140625" bestFit="1" customWidth="1"/>
    <col min="12304" max="12304" width="14.140625" bestFit="1" customWidth="1"/>
    <col min="12545" max="12545" width="31.7109375" customWidth="1"/>
    <col min="12548" max="12548" width="16.42578125" customWidth="1"/>
    <col min="12549" max="12549" width="15.140625" bestFit="1" customWidth="1"/>
    <col min="12551" max="12551" width="15" customWidth="1"/>
    <col min="12552" max="12552" width="13.7109375" customWidth="1"/>
    <col min="12554" max="12554" width="15.5703125" customWidth="1"/>
    <col min="12555" max="12555" width="13.85546875" customWidth="1"/>
    <col min="12556" max="12558" width="15.140625" bestFit="1" customWidth="1"/>
    <col min="12560" max="12560" width="14.140625" bestFit="1" customWidth="1"/>
    <col min="12801" max="12801" width="31.7109375" customWidth="1"/>
    <col min="12804" max="12804" width="16.42578125" customWidth="1"/>
    <col min="12805" max="12805" width="15.140625" bestFit="1" customWidth="1"/>
    <col min="12807" max="12807" width="15" customWidth="1"/>
    <col min="12808" max="12808" width="13.7109375" customWidth="1"/>
    <col min="12810" max="12810" width="15.5703125" customWidth="1"/>
    <col min="12811" max="12811" width="13.85546875" customWidth="1"/>
    <col min="12812" max="12814" width="15.140625" bestFit="1" customWidth="1"/>
    <col min="12816" max="12816" width="14.140625" bestFit="1" customWidth="1"/>
    <col min="13057" max="13057" width="31.7109375" customWidth="1"/>
    <col min="13060" max="13060" width="16.42578125" customWidth="1"/>
    <col min="13061" max="13061" width="15.140625" bestFit="1" customWidth="1"/>
    <col min="13063" max="13063" width="15" customWidth="1"/>
    <col min="13064" max="13064" width="13.7109375" customWidth="1"/>
    <col min="13066" max="13066" width="15.5703125" customWidth="1"/>
    <col min="13067" max="13067" width="13.85546875" customWidth="1"/>
    <col min="13068" max="13070" width="15.140625" bestFit="1" customWidth="1"/>
    <col min="13072" max="13072" width="14.140625" bestFit="1" customWidth="1"/>
    <col min="13313" max="13313" width="31.7109375" customWidth="1"/>
    <col min="13316" max="13316" width="16.42578125" customWidth="1"/>
    <col min="13317" max="13317" width="15.140625" bestFit="1" customWidth="1"/>
    <col min="13319" max="13319" width="15" customWidth="1"/>
    <col min="13320" max="13320" width="13.7109375" customWidth="1"/>
    <col min="13322" max="13322" width="15.5703125" customWidth="1"/>
    <col min="13323" max="13323" width="13.85546875" customWidth="1"/>
    <col min="13324" max="13326" width="15.140625" bestFit="1" customWidth="1"/>
    <col min="13328" max="13328" width="14.140625" bestFit="1" customWidth="1"/>
    <col min="13569" max="13569" width="31.7109375" customWidth="1"/>
    <col min="13572" max="13572" width="16.42578125" customWidth="1"/>
    <col min="13573" max="13573" width="15.140625" bestFit="1" customWidth="1"/>
    <col min="13575" max="13575" width="15" customWidth="1"/>
    <col min="13576" max="13576" width="13.7109375" customWidth="1"/>
    <col min="13578" max="13578" width="15.5703125" customWidth="1"/>
    <col min="13579" max="13579" width="13.85546875" customWidth="1"/>
    <col min="13580" max="13582" width="15.140625" bestFit="1" customWidth="1"/>
    <col min="13584" max="13584" width="14.140625" bestFit="1" customWidth="1"/>
    <col min="13825" max="13825" width="31.7109375" customWidth="1"/>
    <col min="13828" max="13828" width="16.42578125" customWidth="1"/>
    <col min="13829" max="13829" width="15.140625" bestFit="1" customWidth="1"/>
    <col min="13831" max="13831" width="15" customWidth="1"/>
    <col min="13832" max="13832" width="13.7109375" customWidth="1"/>
    <col min="13834" max="13834" width="15.5703125" customWidth="1"/>
    <col min="13835" max="13835" width="13.85546875" customWidth="1"/>
    <col min="13836" max="13838" width="15.140625" bestFit="1" customWidth="1"/>
    <col min="13840" max="13840" width="14.140625" bestFit="1" customWidth="1"/>
    <col min="14081" max="14081" width="31.7109375" customWidth="1"/>
    <col min="14084" max="14084" width="16.42578125" customWidth="1"/>
    <col min="14085" max="14085" width="15.140625" bestFit="1" customWidth="1"/>
    <col min="14087" max="14087" width="15" customWidth="1"/>
    <col min="14088" max="14088" width="13.7109375" customWidth="1"/>
    <col min="14090" max="14090" width="15.5703125" customWidth="1"/>
    <col min="14091" max="14091" width="13.85546875" customWidth="1"/>
    <col min="14092" max="14094" width="15.140625" bestFit="1" customWidth="1"/>
    <col min="14096" max="14096" width="14.140625" bestFit="1" customWidth="1"/>
    <col min="14337" max="14337" width="31.7109375" customWidth="1"/>
    <col min="14340" max="14340" width="16.42578125" customWidth="1"/>
    <col min="14341" max="14341" width="15.140625" bestFit="1" customWidth="1"/>
    <col min="14343" max="14343" width="15" customWidth="1"/>
    <col min="14344" max="14344" width="13.7109375" customWidth="1"/>
    <col min="14346" max="14346" width="15.5703125" customWidth="1"/>
    <col min="14347" max="14347" width="13.85546875" customWidth="1"/>
    <col min="14348" max="14350" width="15.140625" bestFit="1" customWidth="1"/>
    <col min="14352" max="14352" width="14.140625" bestFit="1" customWidth="1"/>
    <col min="14593" max="14593" width="31.7109375" customWidth="1"/>
    <col min="14596" max="14596" width="16.42578125" customWidth="1"/>
    <col min="14597" max="14597" width="15.140625" bestFit="1" customWidth="1"/>
    <col min="14599" max="14599" width="15" customWidth="1"/>
    <col min="14600" max="14600" width="13.7109375" customWidth="1"/>
    <col min="14602" max="14602" width="15.5703125" customWidth="1"/>
    <col min="14603" max="14603" width="13.85546875" customWidth="1"/>
    <col min="14604" max="14606" width="15.140625" bestFit="1" customWidth="1"/>
    <col min="14608" max="14608" width="14.140625" bestFit="1" customWidth="1"/>
    <col min="14849" max="14849" width="31.7109375" customWidth="1"/>
    <col min="14852" max="14852" width="16.42578125" customWidth="1"/>
    <col min="14853" max="14853" width="15.140625" bestFit="1" customWidth="1"/>
    <col min="14855" max="14855" width="15" customWidth="1"/>
    <col min="14856" max="14856" width="13.7109375" customWidth="1"/>
    <col min="14858" max="14858" width="15.5703125" customWidth="1"/>
    <col min="14859" max="14859" width="13.85546875" customWidth="1"/>
    <col min="14860" max="14862" width="15.140625" bestFit="1" customWidth="1"/>
    <col min="14864" max="14864" width="14.140625" bestFit="1" customWidth="1"/>
    <col min="15105" max="15105" width="31.7109375" customWidth="1"/>
    <col min="15108" max="15108" width="16.42578125" customWidth="1"/>
    <col min="15109" max="15109" width="15.140625" bestFit="1" customWidth="1"/>
    <col min="15111" max="15111" width="15" customWidth="1"/>
    <col min="15112" max="15112" width="13.7109375" customWidth="1"/>
    <col min="15114" max="15114" width="15.5703125" customWidth="1"/>
    <col min="15115" max="15115" width="13.85546875" customWidth="1"/>
    <col min="15116" max="15118" width="15.140625" bestFit="1" customWidth="1"/>
    <col min="15120" max="15120" width="14.140625" bestFit="1" customWidth="1"/>
    <col min="15361" max="15361" width="31.7109375" customWidth="1"/>
    <col min="15364" max="15364" width="16.42578125" customWidth="1"/>
    <col min="15365" max="15365" width="15.140625" bestFit="1" customWidth="1"/>
    <col min="15367" max="15367" width="15" customWidth="1"/>
    <col min="15368" max="15368" width="13.7109375" customWidth="1"/>
    <col min="15370" max="15370" width="15.5703125" customWidth="1"/>
    <col min="15371" max="15371" width="13.85546875" customWidth="1"/>
    <col min="15372" max="15374" width="15.140625" bestFit="1" customWidth="1"/>
    <col min="15376" max="15376" width="14.140625" bestFit="1" customWidth="1"/>
    <col min="15617" max="15617" width="31.7109375" customWidth="1"/>
    <col min="15620" max="15620" width="16.42578125" customWidth="1"/>
    <col min="15621" max="15621" width="15.140625" bestFit="1" customWidth="1"/>
    <col min="15623" max="15623" width="15" customWidth="1"/>
    <col min="15624" max="15624" width="13.7109375" customWidth="1"/>
    <col min="15626" max="15626" width="15.5703125" customWidth="1"/>
    <col min="15627" max="15627" width="13.85546875" customWidth="1"/>
    <col min="15628" max="15630" width="15.140625" bestFit="1" customWidth="1"/>
    <col min="15632" max="15632" width="14.140625" bestFit="1" customWidth="1"/>
    <col min="15873" max="15873" width="31.7109375" customWidth="1"/>
    <col min="15876" max="15876" width="16.42578125" customWidth="1"/>
    <col min="15877" max="15877" width="15.140625" bestFit="1" customWidth="1"/>
    <col min="15879" max="15879" width="15" customWidth="1"/>
    <col min="15880" max="15880" width="13.7109375" customWidth="1"/>
    <col min="15882" max="15882" width="15.5703125" customWidth="1"/>
    <col min="15883" max="15883" width="13.85546875" customWidth="1"/>
    <col min="15884" max="15886" width="15.140625" bestFit="1" customWidth="1"/>
    <col min="15888" max="15888" width="14.140625" bestFit="1" customWidth="1"/>
    <col min="16129" max="16129" width="31.7109375" customWidth="1"/>
    <col min="16132" max="16132" width="16.42578125" customWidth="1"/>
    <col min="16133" max="16133" width="15.140625" bestFit="1" customWidth="1"/>
    <col min="16135" max="16135" width="15" customWidth="1"/>
    <col min="16136" max="16136" width="13.7109375" customWidth="1"/>
    <col min="16138" max="16138" width="15.5703125" customWidth="1"/>
    <col min="16139" max="16139" width="13.85546875" customWidth="1"/>
    <col min="16140" max="16142" width="15.140625" bestFit="1" customWidth="1"/>
    <col min="16144" max="16144" width="14.140625" bestFit="1" customWidth="1"/>
  </cols>
  <sheetData>
    <row r="1" spans="1:23">
      <c r="A1" s="335"/>
      <c r="B1" s="336" t="s">
        <v>356</v>
      </c>
      <c r="C1" s="337"/>
      <c r="D1" s="337"/>
      <c r="E1" s="337"/>
      <c r="F1" s="337"/>
      <c r="G1" s="337"/>
      <c r="H1" s="337"/>
      <c r="I1" s="337"/>
      <c r="J1" s="338"/>
      <c r="K1" s="329" t="s">
        <v>357</v>
      </c>
      <c r="L1" s="330"/>
    </row>
    <row r="2" spans="1:23">
      <c r="A2" s="335"/>
      <c r="B2" s="339"/>
      <c r="C2" s="340"/>
      <c r="D2" s="340"/>
      <c r="E2" s="340"/>
      <c r="F2" s="340"/>
      <c r="G2" s="340"/>
      <c r="H2" s="340"/>
      <c r="I2" s="340"/>
      <c r="J2" s="341"/>
      <c r="K2" s="331" t="s">
        <v>358</v>
      </c>
      <c r="L2" s="332"/>
    </row>
    <row r="3" spans="1:23" ht="15.75" thickBot="1">
      <c r="A3" s="335"/>
      <c r="B3" s="342"/>
      <c r="C3" s="343"/>
      <c r="D3" s="343"/>
      <c r="E3" s="343"/>
      <c r="F3" s="343"/>
      <c r="G3" s="343"/>
      <c r="H3" s="343"/>
      <c r="I3" s="343"/>
      <c r="J3" s="344"/>
      <c r="K3" s="333" t="s">
        <v>359</v>
      </c>
      <c r="L3" s="334"/>
    </row>
    <row r="4" spans="1:23" s="356" customFormat="1" ht="21.75" customHeight="1">
      <c r="A4" s="353" t="s">
        <v>231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</row>
    <row r="5" spans="1:23" s="191" customFormat="1" ht="27" customHeight="1">
      <c r="A5" s="304" t="s">
        <v>44</v>
      </c>
      <c r="B5" s="304" t="s">
        <v>2</v>
      </c>
      <c r="C5" s="305" t="s">
        <v>3</v>
      </c>
      <c r="D5" s="305" t="s">
        <v>4</v>
      </c>
      <c r="E5" s="305" t="s">
        <v>5</v>
      </c>
      <c r="F5" s="305" t="s">
        <v>6</v>
      </c>
      <c r="G5" s="305"/>
      <c r="H5" s="305"/>
      <c r="I5" s="305"/>
      <c r="J5" s="305"/>
      <c r="K5" s="305"/>
      <c r="L5" s="305"/>
    </row>
    <row r="6" spans="1:23" ht="38.25">
      <c r="A6" s="304"/>
      <c r="B6" s="304"/>
      <c r="C6" s="305"/>
      <c r="D6" s="305"/>
      <c r="E6" s="305"/>
      <c r="F6" s="88" t="s">
        <v>7</v>
      </c>
      <c r="G6" s="88" t="s">
        <v>8</v>
      </c>
      <c r="H6" s="88" t="s">
        <v>9</v>
      </c>
      <c r="I6" s="88" t="s">
        <v>10</v>
      </c>
      <c r="J6" s="88" t="s">
        <v>11</v>
      </c>
      <c r="K6" s="88" t="s">
        <v>12</v>
      </c>
      <c r="L6" s="88" t="s">
        <v>232</v>
      </c>
    </row>
    <row r="7" spans="1:23" ht="38.25">
      <c r="A7" s="168" t="s">
        <v>233</v>
      </c>
      <c r="B7" s="169" t="s">
        <v>47</v>
      </c>
      <c r="C7" s="80">
        <v>100</v>
      </c>
      <c r="D7" s="170"/>
      <c r="E7" s="170">
        <f t="shared" ref="E7:E13" si="0">SUM(F7:L7)</f>
        <v>0</v>
      </c>
      <c r="F7" s="38"/>
      <c r="G7" s="38"/>
      <c r="H7" s="38"/>
      <c r="I7" s="38"/>
      <c r="J7" s="34"/>
      <c r="K7" s="38"/>
      <c r="L7" s="38"/>
    </row>
    <row r="8" spans="1:23" ht="51">
      <c r="A8" s="31" t="s">
        <v>234</v>
      </c>
      <c r="B8" s="169" t="s">
        <v>47</v>
      </c>
      <c r="C8" s="80">
        <v>100</v>
      </c>
      <c r="D8" s="170"/>
      <c r="E8" s="170">
        <f t="shared" si="0"/>
        <v>0</v>
      </c>
      <c r="F8" s="38"/>
      <c r="G8" s="38"/>
      <c r="H8" s="38"/>
      <c r="I8" s="38"/>
      <c r="J8" s="34"/>
      <c r="K8" s="38"/>
      <c r="L8" s="38"/>
    </row>
    <row r="9" spans="1:23" ht="51">
      <c r="A9" s="31" t="s">
        <v>235</v>
      </c>
      <c r="B9" s="169" t="s">
        <v>47</v>
      </c>
      <c r="C9" s="80">
        <v>100</v>
      </c>
      <c r="D9" s="170"/>
      <c r="E9" s="170">
        <f t="shared" si="0"/>
        <v>0</v>
      </c>
      <c r="F9" s="38"/>
      <c r="G9" s="38"/>
      <c r="H9" s="38"/>
      <c r="I9" s="38"/>
      <c r="J9" s="34"/>
      <c r="K9" s="38"/>
      <c r="L9" s="38"/>
    </row>
    <row r="10" spans="1:23" ht="25.5">
      <c r="A10" s="168" t="s">
        <v>236</v>
      </c>
      <c r="B10" s="169" t="s">
        <v>47</v>
      </c>
      <c r="C10" s="80">
        <v>100</v>
      </c>
      <c r="D10" s="24"/>
      <c r="E10" s="170">
        <f t="shared" si="0"/>
        <v>0</v>
      </c>
      <c r="F10" s="38"/>
      <c r="G10" s="38"/>
      <c r="H10" s="38"/>
      <c r="I10" s="38"/>
      <c r="J10" s="34"/>
      <c r="K10" s="38"/>
      <c r="L10" s="38"/>
    </row>
    <row r="11" spans="1:23" ht="25.5">
      <c r="A11" s="52" t="s">
        <v>237</v>
      </c>
      <c r="B11" s="171" t="s">
        <v>24</v>
      </c>
      <c r="C11" s="172">
        <v>1</v>
      </c>
      <c r="D11" s="24">
        <f>+E11</f>
        <v>792253671.62575054</v>
      </c>
      <c r="E11" s="170">
        <f t="shared" si="0"/>
        <v>792253671.62575054</v>
      </c>
      <c r="F11" s="38"/>
      <c r="G11" s="38">
        <v>791245017.62575054</v>
      </c>
      <c r="H11" s="38"/>
      <c r="I11" s="38"/>
      <c r="J11" s="34">
        <v>1008654</v>
      </c>
      <c r="K11" s="38"/>
      <c r="L11" s="38"/>
    </row>
    <row r="12" spans="1:23" ht="51">
      <c r="A12" s="168" t="s">
        <v>238</v>
      </c>
      <c r="B12" s="169" t="s">
        <v>239</v>
      </c>
      <c r="C12" s="80">
        <v>60</v>
      </c>
      <c r="D12" s="170"/>
      <c r="E12" s="170">
        <f t="shared" si="0"/>
        <v>0</v>
      </c>
      <c r="F12" s="38"/>
      <c r="G12" s="38"/>
      <c r="H12" s="38"/>
      <c r="I12" s="38"/>
      <c r="J12" s="34"/>
      <c r="K12" s="38"/>
      <c r="L12" s="38"/>
      <c r="N12" s="173"/>
    </row>
    <row r="13" spans="1:23" ht="25.5">
      <c r="A13" s="168" t="s">
        <v>240</v>
      </c>
      <c r="B13" s="169" t="s">
        <v>47</v>
      </c>
      <c r="C13" s="80">
        <v>25</v>
      </c>
      <c r="D13" s="174"/>
      <c r="E13" s="170">
        <f t="shared" si="0"/>
        <v>0</v>
      </c>
      <c r="F13" s="175"/>
      <c r="G13" s="43"/>
      <c r="H13" s="43"/>
      <c r="I13" s="43"/>
      <c r="J13" s="43"/>
      <c r="K13" s="43"/>
      <c r="L13" s="43"/>
      <c r="M13" s="57"/>
      <c r="N13" s="176"/>
      <c r="O13" s="57"/>
      <c r="P13" s="57"/>
      <c r="Q13" s="57"/>
      <c r="R13" s="57"/>
      <c r="S13" s="57"/>
      <c r="T13" s="57"/>
      <c r="U13" s="57"/>
      <c r="V13" s="57"/>
      <c r="W13" s="57"/>
    </row>
    <row r="14" spans="1:23" ht="38.25">
      <c r="A14" s="65" t="s">
        <v>241</v>
      </c>
      <c r="B14" s="177" t="s">
        <v>47</v>
      </c>
      <c r="C14" s="177">
        <v>100</v>
      </c>
      <c r="D14" s="24"/>
      <c r="E14" s="170"/>
      <c r="F14" s="175"/>
      <c r="G14" s="43"/>
      <c r="H14" s="43"/>
      <c r="I14" s="43"/>
      <c r="J14" s="43"/>
      <c r="K14" s="43"/>
      <c r="L14" s="43"/>
      <c r="M14" s="57"/>
      <c r="N14" s="176"/>
      <c r="O14" s="57"/>
      <c r="P14" s="57"/>
      <c r="Q14" s="57"/>
      <c r="R14" s="57"/>
      <c r="S14" s="57"/>
      <c r="T14" s="57"/>
      <c r="U14" s="57"/>
      <c r="V14" s="57"/>
      <c r="W14" s="57"/>
    </row>
    <row r="15" spans="1:23" ht="38.25">
      <c r="A15" s="52" t="s">
        <v>242</v>
      </c>
      <c r="B15" s="171" t="s">
        <v>84</v>
      </c>
      <c r="C15" s="171">
        <v>9</v>
      </c>
      <c r="D15" s="24">
        <f>+E15/C15</f>
        <v>3875314.5</v>
      </c>
      <c r="E15" s="170">
        <f>SUM(F15:L15)</f>
        <v>34877830.5</v>
      </c>
      <c r="F15" s="175"/>
      <c r="G15" s="43"/>
      <c r="H15" s="43"/>
      <c r="I15" s="43"/>
      <c r="J15" s="43">
        <f>34738875*1.004</f>
        <v>34877830.5</v>
      </c>
      <c r="K15" s="43"/>
      <c r="L15" s="43"/>
      <c r="M15" s="57"/>
      <c r="N15" s="176"/>
      <c r="O15" s="57"/>
      <c r="P15" s="57"/>
      <c r="Q15" s="57"/>
      <c r="R15" s="57"/>
      <c r="S15" s="57"/>
      <c r="T15" s="57"/>
      <c r="U15" s="57"/>
      <c r="V15" s="57"/>
      <c r="W15" s="57"/>
    </row>
    <row r="16" spans="1:23" ht="25.5">
      <c r="A16" s="52" t="s">
        <v>243</v>
      </c>
      <c r="B16" s="171" t="s">
        <v>84</v>
      </c>
      <c r="C16" s="171">
        <v>9</v>
      </c>
      <c r="D16" s="24">
        <f>+E16/C16</f>
        <v>4459266</v>
      </c>
      <c r="E16" s="170">
        <f>SUM(F16:L16)</f>
        <v>40133394</v>
      </c>
      <c r="F16" s="175"/>
      <c r="G16" s="43"/>
      <c r="H16" s="43"/>
      <c r="I16" s="43"/>
      <c r="J16" s="43">
        <f>39973500*1.004</f>
        <v>40133394</v>
      </c>
      <c r="K16" s="43"/>
      <c r="L16" s="43"/>
      <c r="M16" s="57"/>
      <c r="N16" s="176"/>
      <c r="O16" s="57"/>
      <c r="P16" s="57"/>
      <c r="Q16" s="57"/>
      <c r="R16" s="57"/>
      <c r="S16" s="57"/>
      <c r="T16" s="57"/>
      <c r="U16" s="57"/>
      <c r="V16" s="57"/>
      <c r="W16" s="57"/>
    </row>
    <row r="17" spans="1:23" ht="38.25">
      <c r="A17" s="65" t="s">
        <v>244</v>
      </c>
      <c r="B17" s="177" t="s">
        <v>245</v>
      </c>
      <c r="C17" s="177">
        <v>1</v>
      </c>
      <c r="D17" s="24"/>
      <c r="E17" s="170"/>
      <c r="F17" s="175"/>
      <c r="G17" s="43"/>
      <c r="H17" s="43"/>
      <c r="I17" s="43"/>
      <c r="J17" s="43"/>
      <c r="K17" s="43"/>
      <c r="L17" s="43"/>
      <c r="M17" s="57"/>
      <c r="N17" s="176"/>
      <c r="O17" s="57"/>
      <c r="P17" s="57"/>
      <c r="Q17" s="57"/>
      <c r="R17" s="57"/>
      <c r="S17" s="57"/>
      <c r="T17" s="57"/>
      <c r="U17" s="57"/>
      <c r="V17" s="57"/>
      <c r="W17" s="57"/>
    </row>
    <row r="18" spans="1:23" ht="25.5">
      <c r="A18" s="36" t="s">
        <v>246</v>
      </c>
      <c r="B18" s="171" t="s">
        <v>84</v>
      </c>
      <c r="C18" s="171">
        <v>1</v>
      </c>
      <c r="D18" s="24">
        <f t="shared" ref="D18:D23" si="1">+E18</f>
        <v>290000000</v>
      </c>
      <c r="E18" s="170">
        <f>SUM(F18:L18)</f>
        <v>290000000</v>
      </c>
      <c r="F18" s="175"/>
      <c r="G18" s="43"/>
      <c r="H18" s="43"/>
      <c r="I18" s="43"/>
      <c r="J18" s="43">
        <v>290000000</v>
      </c>
      <c r="K18" s="43"/>
      <c r="L18" s="43"/>
      <c r="M18" s="57"/>
      <c r="N18" s="176"/>
      <c r="O18" s="57"/>
      <c r="P18" s="57"/>
      <c r="Q18" s="57"/>
      <c r="R18" s="57"/>
      <c r="S18" s="57"/>
      <c r="T18" s="57"/>
      <c r="U18" s="57"/>
      <c r="V18" s="57"/>
      <c r="W18" s="57"/>
    </row>
    <row r="19" spans="1:23" ht="25.5">
      <c r="A19" s="36" t="s">
        <v>247</v>
      </c>
      <c r="B19" s="171" t="s">
        <v>84</v>
      </c>
      <c r="C19" s="171">
        <v>1</v>
      </c>
      <c r="D19" s="24">
        <f t="shared" si="1"/>
        <v>353866411.94000006</v>
      </c>
      <c r="E19" s="170">
        <f>SUM(F19:L19)</f>
        <v>353866411.94000006</v>
      </c>
      <c r="F19" s="175"/>
      <c r="G19" s="43"/>
      <c r="H19" s="43"/>
      <c r="I19" s="43"/>
      <c r="J19" s="43">
        <v>353866411.94000006</v>
      </c>
      <c r="K19" s="43"/>
      <c r="L19" s="43"/>
      <c r="M19" s="57"/>
      <c r="N19" s="176"/>
      <c r="O19" s="57"/>
      <c r="P19" s="57"/>
      <c r="Q19" s="57"/>
      <c r="R19" s="57"/>
      <c r="S19" s="57"/>
      <c r="T19" s="57"/>
      <c r="U19" s="57"/>
      <c r="V19" s="57"/>
      <c r="W19" s="57"/>
    </row>
    <row r="20" spans="1:23">
      <c r="A20" s="36" t="s">
        <v>248</v>
      </c>
      <c r="B20" s="171" t="s">
        <v>24</v>
      </c>
      <c r="C20" s="171">
        <v>1</v>
      </c>
      <c r="D20" s="24">
        <f t="shared" si="1"/>
        <v>150000000</v>
      </c>
      <c r="E20" s="170">
        <f>+J20</f>
        <v>150000000</v>
      </c>
      <c r="F20" s="175"/>
      <c r="G20" s="43"/>
      <c r="H20" s="43"/>
      <c r="I20" s="43"/>
      <c r="J20" s="43">
        <v>150000000</v>
      </c>
      <c r="K20" s="43"/>
      <c r="L20" s="43"/>
      <c r="M20" s="178"/>
      <c r="N20" s="176"/>
      <c r="O20" s="57"/>
      <c r="P20" s="57"/>
      <c r="Q20" s="57"/>
      <c r="R20" s="57"/>
      <c r="S20" s="57"/>
      <c r="T20" s="57"/>
      <c r="U20" s="57"/>
      <c r="V20" s="57"/>
      <c r="W20" s="57"/>
    </row>
    <row r="21" spans="1:23">
      <c r="A21" s="36" t="s">
        <v>249</v>
      </c>
      <c r="B21" s="171" t="s">
        <v>24</v>
      </c>
      <c r="C21" s="171">
        <v>1</v>
      </c>
      <c r="D21" s="24">
        <f t="shared" si="1"/>
        <v>30000000</v>
      </c>
      <c r="E21" s="170">
        <f>SUM(F21:L21)</f>
        <v>30000000</v>
      </c>
      <c r="F21" s="175"/>
      <c r="G21" s="43"/>
      <c r="H21" s="43"/>
      <c r="I21" s="43"/>
      <c r="J21" s="43">
        <v>30000000</v>
      </c>
      <c r="K21" s="43"/>
      <c r="L21" s="43"/>
      <c r="M21" s="57"/>
      <c r="N21" s="176"/>
      <c r="O21" s="57"/>
      <c r="P21" s="57"/>
      <c r="Q21" s="57"/>
      <c r="R21" s="57"/>
      <c r="S21" s="57"/>
      <c r="T21" s="57"/>
      <c r="U21" s="57"/>
      <c r="V21" s="57"/>
      <c r="W21" s="57"/>
    </row>
    <row r="22" spans="1:23" ht="25.5">
      <c r="A22" s="36" t="s">
        <v>250</v>
      </c>
      <c r="B22" s="171" t="s">
        <v>24</v>
      </c>
      <c r="C22" s="171">
        <v>1</v>
      </c>
      <c r="D22" s="24">
        <f t="shared" si="1"/>
        <v>50000000</v>
      </c>
      <c r="E22" s="170">
        <f>SUM(F22:L22)</f>
        <v>50000000</v>
      </c>
      <c r="F22" s="175"/>
      <c r="G22" s="43"/>
      <c r="H22" s="43"/>
      <c r="I22" s="43"/>
      <c r="J22" s="43">
        <v>50000000</v>
      </c>
      <c r="K22" s="43"/>
      <c r="L22" s="43"/>
      <c r="M22" s="57"/>
      <c r="N22" s="176"/>
      <c r="O22" s="57"/>
      <c r="P22" s="57"/>
      <c r="Q22" s="57"/>
      <c r="R22" s="57"/>
      <c r="S22" s="57"/>
      <c r="T22" s="57"/>
      <c r="U22" s="57"/>
      <c r="V22" s="57"/>
      <c r="W22" s="57"/>
    </row>
    <row r="23" spans="1:23">
      <c r="A23" s="36" t="s">
        <v>251</v>
      </c>
      <c r="B23" s="171" t="s">
        <v>24</v>
      </c>
      <c r="C23" s="171">
        <v>1</v>
      </c>
      <c r="D23" s="24">
        <f t="shared" si="1"/>
        <v>70449016</v>
      </c>
      <c r="E23" s="170">
        <f>SUM(F23:L23)</f>
        <v>70449016</v>
      </c>
      <c r="F23" s="175"/>
      <c r="G23" s="43"/>
      <c r="H23" s="43"/>
      <c r="I23" s="43"/>
      <c r="J23" s="43">
        <v>70449016</v>
      </c>
      <c r="K23" s="43"/>
      <c r="L23" s="43"/>
      <c r="M23" s="57"/>
      <c r="N23" s="176"/>
      <c r="O23" s="57"/>
      <c r="P23" s="57"/>
      <c r="Q23" s="57"/>
      <c r="R23" s="57"/>
      <c r="S23" s="57"/>
      <c r="T23" s="57"/>
      <c r="U23" s="57"/>
      <c r="V23" s="57"/>
      <c r="W23" s="57"/>
    </row>
    <row r="24" spans="1:23">
      <c r="A24" s="36" t="s">
        <v>252</v>
      </c>
      <c r="B24" s="171" t="s">
        <v>24</v>
      </c>
      <c r="C24" s="171">
        <v>1</v>
      </c>
      <c r="D24" s="24">
        <f>+E24</f>
        <v>70000000</v>
      </c>
      <c r="E24" s="170">
        <v>70000000</v>
      </c>
      <c r="F24" s="175"/>
      <c r="G24" s="43"/>
      <c r="H24" s="43"/>
      <c r="I24" s="43"/>
      <c r="J24" s="43">
        <f>+E24</f>
        <v>70000000</v>
      </c>
      <c r="K24" s="43"/>
      <c r="L24" s="43"/>
      <c r="M24" s="57"/>
      <c r="N24" s="176"/>
      <c r="O24" s="57"/>
      <c r="P24" s="57"/>
      <c r="Q24" s="57"/>
      <c r="R24" s="57"/>
      <c r="S24" s="57"/>
      <c r="T24" s="57"/>
      <c r="U24" s="57"/>
      <c r="V24" s="57"/>
      <c r="W24" s="57"/>
    </row>
    <row r="25" spans="1:23" ht="38.25">
      <c r="A25" s="36" t="s">
        <v>228</v>
      </c>
      <c r="B25" s="171" t="s">
        <v>24</v>
      </c>
      <c r="C25" s="171">
        <v>1</v>
      </c>
      <c r="D25" s="24">
        <v>12000000</v>
      </c>
      <c r="E25" s="170">
        <f>+D25*C25</f>
        <v>12000000</v>
      </c>
      <c r="F25" s="175"/>
      <c r="G25" s="43"/>
      <c r="H25" s="43"/>
      <c r="I25" s="43"/>
      <c r="J25" s="43">
        <f>+E25</f>
        <v>12000000</v>
      </c>
      <c r="K25" s="43"/>
      <c r="L25" s="43"/>
      <c r="M25" s="57"/>
      <c r="N25" s="176"/>
      <c r="O25" s="57"/>
      <c r="P25" s="57"/>
      <c r="Q25" s="57"/>
      <c r="R25" s="57"/>
      <c r="S25" s="57"/>
      <c r="T25" s="57"/>
      <c r="U25" s="57"/>
      <c r="V25" s="57"/>
      <c r="W25" s="57"/>
    </row>
    <row r="26" spans="1:23" ht="25.5" customHeight="1">
      <c r="A26" s="52" t="s">
        <v>253</v>
      </c>
      <c r="B26" s="171" t="s">
        <v>84</v>
      </c>
      <c r="C26" s="171">
        <v>55</v>
      </c>
      <c r="D26" s="24">
        <f>1490498*1.004</f>
        <v>1496459.9920000001</v>
      </c>
      <c r="E26" s="170">
        <f>+D26*C26</f>
        <v>82305299.560000002</v>
      </c>
      <c r="F26" s="175"/>
      <c r="G26" s="43"/>
      <c r="H26" s="43"/>
      <c r="I26" s="43"/>
      <c r="J26" s="43">
        <f>+E26</f>
        <v>82305299.560000002</v>
      </c>
      <c r="K26" s="43"/>
      <c r="L26" s="43"/>
      <c r="M26" s="57"/>
      <c r="N26" s="176"/>
      <c r="O26" s="57"/>
      <c r="P26" s="57"/>
      <c r="Q26" s="57"/>
      <c r="R26" s="57"/>
      <c r="S26" s="57"/>
      <c r="T26" s="57"/>
      <c r="U26" s="57"/>
      <c r="V26" s="57"/>
      <c r="W26" s="57"/>
    </row>
    <row r="27" spans="1:23" ht="25.5">
      <c r="A27" s="174" t="s">
        <v>254</v>
      </c>
      <c r="B27" s="171" t="s">
        <v>24</v>
      </c>
      <c r="C27" s="171">
        <v>1</v>
      </c>
      <c r="D27" s="24">
        <v>20000000</v>
      </c>
      <c r="E27" s="170">
        <f>+D27*C27</f>
        <v>20000000</v>
      </c>
      <c r="F27" s="175"/>
      <c r="G27" s="43"/>
      <c r="H27" s="43"/>
      <c r="I27" s="43"/>
      <c r="J27" s="43">
        <f>+E27</f>
        <v>20000000</v>
      </c>
      <c r="K27" s="43"/>
      <c r="L27" s="43"/>
      <c r="M27" s="57"/>
      <c r="N27" s="176"/>
      <c r="O27" s="57"/>
      <c r="P27" s="57"/>
      <c r="Q27" s="57"/>
      <c r="R27" s="57"/>
      <c r="S27" s="57"/>
      <c r="T27" s="57"/>
      <c r="U27" s="57"/>
      <c r="V27" s="57"/>
      <c r="W27" s="57"/>
    </row>
    <row r="28" spans="1:23" ht="38.25">
      <c r="A28" s="65" t="s">
        <v>255</v>
      </c>
      <c r="B28" s="177" t="s">
        <v>256</v>
      </c>
      <c r="C28" s="177">
        <v>1</v>
      </c>
      <c r="D28" s="24"/>
      <c r="E28" s="170"/>
      <c r="F28" s="175"/>
      <c r="G28" s="43"/>
      <c r="H28" s="43"/>
      <c r="I28" s="43"/>
      <c r="J28" s="43"/>
      <c r="K28" s="43"/>
      <c r="L28" s="43"/>
      <c r="M28" s="57"/>
      <c r="N28" s="176"/>
      <c r="O28" s="57"/>
      <c r="P28" s="57"/>
      <c r="Q28" s="57"/>
      <c r="R28" s="57"/>
      <c r="S28" s="57"/>
      <c r="T28" s="57"/>
      <c r="U28" s="57"/>
      <c r="V28" s="57"/>
      <c r="W28" s="57"/>
    </row>
    <row r="29" spans="1:23" ht="25.5">
      <c r="A29" s="179" t="s">
        <v>257</v>
      </c>
      <c r="B29" s="171" t="s">
        <v>24</v>
      </c>
      <c r="C29" s="171">
        <v>1</v>
      </c>
      <c r="D29" s="24">
        <f>+E29</f>
        <v>33000000</v>
      </c>
      <c r="E29" s="170">
        <f>SUM(F29:L29)</f>
        <v>33000000</v>
      </c>
      <c r="F29" s="175"/>
      <c r="G29" s="43"/>
      <c r="H29" s="43"/>
      <c r="I29" s="43"/>
      <c r="J29" s="43">
        <v>33000000</v>
      </c>
      <c r="K29" s="43"/>
      <c r="L29" s="43"/>
      <c r="M29" s="57"/>
      <c r="N29" s="176"/>
      <c r="O29" s="57"/>
      <c r="P29" s="57"/>
      <c r="Q29" s="57"/>
      <c r="R29" s="57"/>
      <c r="S29" s="57"/>
      <c r="T29" s="57"/>
      <c r="U29" s="57"/>
      <c r="V29" s="57"/>
      <c r="W29" s="57"/>
    </row>
    <row r="30" spans="1:23" ht="25.5">
      <c r="A30" s="65" t="s">
        <v>258</v>
      </c>
      <c r="B30" s="180" t="s">
        <v>259</v>
      </c>
      <c r="C30" s="181">
        <v>1</v>
      </c>
      <c r="D30" s="24"/>
      <c r="E30" s="170">
        <f>SUM(F30:L30)</f>
        <v>0</v>
      </c>
      <c r="F30" s="175"/>
      <c r="G30" s="43"/>
      <c r="H30" s="43"/>
      <c r="I30" s="43"/>
      <c r="J30" s="43"/>
      <c r="K30" s="43"/>
      <c r="L30" s="43"/>
      <c r="M30" s="57"/>
      <c r="N30" s="176"/>
      <c r="O30" s="57"/>
      <c r="P30" s="57"/>
      <c r="Q30" s="57"/>
      <c r="R30" s="57"/>
      <c r="S30" s="57"/>
      <c r="T30" s="57"/>
      <c r="U30" s="57"/>
      <c r="V30" s="57"/>
      <c r="W30" s="57"/>
    </row>
    <row r="31" spans="1:23" ht="38.25">
      <c r="A31" s="182" t="s">
        <v>260</v>
      </c>
      <c r="B31" s="183" t="s">
        <v>24</v>
      </c>
      <c r="C31" s="172">
        <v>1</v>
      </c>
      <c r="D31" s="24">
        <f>+E31</f>
        <v>33000000</v>
      </c>
      <c r="E31" s="170">
        <f>SUM(F31:L31)</f>
        <v>33000000</v>
      </c>
      <c r="F31" s="175"/>
      <c r="G31" s="43"/>
      <c r="H31" s="43"/>
      <c r="I31" s="43"/>
      <c r="J31" s="43">
        <v>33000000</v>
      </c>
      <c r="K31" s="43"/>
      <c r="L31" s="43"/>
      <c r="M31" s="57"/>
      <c r="N31" s="176"/>
      <c r="O31" s="57"/>
      <c r="P31" s="57"/>
      <c r="Q31" s="57"/>
      <c r="R31" s="57"/>
      <c r="S31" s="57"/>
      <c r="T31" s="57"/>
      <c r="U31" s="57"/>
      <c r="V31" s="57"/>
      <c r="W31" s="57"/>
    </row>
    <row r="32" spans="1:23" ht="51">
      <c r="A32" s="184" t="s">
        <v>261</v>
      </c>
      <c r="B32" s="177" t="s">
        <v>126</v>
      </c>
      <c r="C32" s="177">
        <v>1</v>
      </c>
      <c r="D32" s="24"/>
      <c r="E32" s="170"/>
      <c r="F32" s="175"/>
      <c r="G32" s="43"/>
      <c r="H32" s="43"/>
      <c r="I32" s="43"/>
      <c r="J32" s="43"/>
      <c r="K32" s="43"/>
      <c r="L32" s="43"/>
      <c r="M32" s="57"/>
      <c r="N32" s="176"/>
      <c r="O32" s="57"/>
      <c r="P32" s="57"/>
      <c r="Q32" s="57"/>
      <c r="R32" s="57"/>
      <c r="S32" s="57"/>
      <c r="T32" s="57"/>
      <c r="U32" s="57"/>
      <c r="V32" s="57"/>
      <c r="W32" s="57"/>
    </row>
    <row r="33" spans="1:23" ht="25.5">
      <c r="A33" s="36" t="s">
        <v>262</v>
      </c>
      <c r="B33" s="171" t="s">
        <v>84</v>
      </c>
      <c r="C33" s="171">
        <v>1</v>
      </c>
      <c r="D33" s="24">
        <f>+E33</f>
        <v>169946534.18000001</v>
      </c>
      <c r="E33" s="170">
        <f>+J33</f>
        <v>169946534.18000001</v>
      </c>
      <c r="F33" s="175"/>
      <c r="G33" s="43"/>
      <c r="H33" s="43"/>
      <c r="I33" s="43"/>
      <c r="J33" s="43">
        <f>230186534.18-J34</f>
        <v>169946534.18000001</v>
      </c>
      <c r="K33" s="43"/>
      <c r="L33" s="43"/>
      <c r="M33" s="57"/>
      <c r="N33" s="176"/>
      <c r="O33" s="57"/>
      <c r="P33" s="57"/>
      <c r="Q33" s="57"/>
      <c r="R33" s="57"/>
      <c r="S33" s="57"/>
      <c r="T33" s="57"/>
      <c r="U33" s="57"/>
      <c r="V33" s="57"/>
      <c r="W33" s="57"/>
    </row>
    <row r="34" spans="1:23" ht="38.25">
      <c r="A34" s="36" t="s">
        <v>263</v>
      </c>
      <c r="B34" s="171" t="s">
        <v>24</v>
      </c>
      <c r="C34" s="171">
        <v>1</v>
      </c>
      <c r="D34" s="24">
        <f>+E34</f>
        <v>60240000</v>
      </c>
      <c r="E34" s="170">
        <f>+J34</f>
        <v>60240000</v>
      </c>
      <c r="F34" s="175"/>
      <c r="G34" s="43"/>
      <c r="H34" s="43"/>
      <c r="I34" s="43"/>
      <c r="J34" s="43">
        <f>60000000*1.004</f>
        <v>60240000</v>
      </c>
      <c r="K34" s="43"/>
      <c r="L34" s="43"/>
      <c r="M34" s="57"/>
      <c r="N34" s="176"/>
      <c r="O34" s="57"/>
      <c r="P34" s="57"/>
      <c r="Q34" s="57"/>
      <c r="R34" s="57"/>
      <c r="S34" s="57"/>
      <c r="T34" s="57"/>
      <c r="U34" s="57"/>
      <c r="V34" s="57"/>
      <c r="W34" s="57"/>
    </row>
    <row r="35" spans="1:23" ht="51">
      <c r="A35" s="184" t="s">
        <v>264</v>
      </c>
      <c r="B35" s="177" t="s">
        <v>15</v>
      </c>
      <c r="C35" s="177">
        <v>100</v>
      </c>
      <c r="D35" s="43"/>
      <c r="E35" s="170">
        <f>SUM(F35:L35)</f>
        <v>0</v>
      </c>
      <c r="F35" s="175"/>
      <c r="G35" s="43"/>
      <c r="H35" s="43"/>
      <c r="I35" s="43"/>
      <c r="J35" s="43"/>
      <c r="K35" s="43"/>
      <c r="L35" s="43"/>
      <c r="M35" s="57"/>
      <c r="N35" s="176"/>
      <c r="O35" s="57"/>
      <c r="P35" s="57"/>
      <c r="Q35" s="57"/>
      <c r="R35" s="57"/>
      <c r="S35" s="57"/>
      <c r="T35" s="57"/>
      <c r="U35" s="57"/>
      <c r="V35" s="57"/>
      <c r="W35" s="57"/>
    </row>
    <row r="36" spans="1:23" ht="25.5">
      <c r="A36" s="52" t="s">
        <v>265</v>
      </c>
      <c r="B36" s="171" t="s">
        <v>84</v>
      </c>
      <c r="C36" s="171">
        <v>3</v>
      </c>
      <c r="D36" s="43">
        <v>3537086</v>
      </c>
      <c r="E36" s="170">
        <f>+D36*C36</f>
        <v>10611258</v>
      </c>
      <c r="F36" s="175"/>
      <c r="G36" s="43"/>
      <c r="H36" s="43"/>
      <c r="I36" s="43"/>
      <c r="J36" s="43">
        <f>+E36</f>
        <v>10611258</v>
      </c>
      <c r="K36" s="43"/>
      <c r="L36" s="43"/>
      <c r="M36" s="57"/>
      <c r="N36" s="176"/>
      <c r="O36" s="57"/>
      <c r="P36" s="57"/>
      <c r="Q36" s="57"/>
      <c r="R36" s="57"/>
      <c r="S36" s="57"/>
      <c r="T36" s="57"/>
      <c r="U36" s="57"/>
      <c r="V36" s="57"/>
      <c r="W36" s="57"/>
    </row>
    <row r="37" spans="1:23" ht="38.25">
      <c r="A37" s="184" t="s">
        <v>266</v>
      </c>
      <c r="B37" s="177" t="s">
        <v>267</v>
      </c>
      <c r="C37" s="177">
        <v>37</v>
      </c>
      <c r="D37" s="24"/>
      <c r="E37" s="170">
        <f>SUM(F37:L37)</f>
        <v>0</v>
      </c>
      <c r="F37" s="175"/>
      <c r="G37" s="43"/>
      <c r="H37" s="43"/>
      <c r="I37" s="43"/>
      <c r="J37" s="43"/>
      <c r="K37" s="43"/>
      <c r="L37" s="43"/>
      <c r="M37" s="57"/>
      <c r="N37" s="176"/>
      <c r="O37" s="57"/>
      <c r="P37" s="57"/>
      <c r="Q37" s="57"/>
      <c r="R37" s="57"/>
      <c r="S37" s="57"/>
      <c r="T37" s="57"/>
      <c r="U37" s="57"/>
      <c r="V37" s="57"/>
      <c r="W37" s="57"/>
    </row>
    <row r="38" spans="1:23" ht="25.5">
      <c r="A38" s="52" t="s">
        <v>268</v>
      </c>
      <c r="B38" s="171" t="s">
        <v>84</v>
      </c>
      <c r="C38" s="171">
        <v>3</v>
      </c>
      <c r="D38" s="43">
        <v>3537086</v>
      </c>
      <c r="E38" s="170">
        <f>+D38*C38</f>
        <v>10611258</v>
      </c>
      <c r="F38" s="175"/>
      <c r="G38" s="43"/>
      <c r="H38" s="43"/>
      <c r="I38" s="43"/>
      <c r="J38" s="43">
        <f>+E38</f>
        <v>10611258</v>
      </c>
      <c r="K38" s="43"/>
      <c r="L38" s="43"/>
      <c r="M38" s="57"/>
      <c r="N38" s="176"/>
      <c r="O38" s="57"/>
      <c r="P38" s="57"/>
      <c r="Q38" s="57"/>
      <c r="R38" s="57"/>
      <c r="S38" s="57"/>
      <c r="T38" s="57"/>
      <c r="U38" s="57"/>
      <c r="V38" s="57"/>
      <c r="W38" s="57"/>
    </row>
    <row r="39" spans="1:23" ht="38.25">
      <c r="A39" s="184" t="s">
        <v>269</v>
      </c>
      <c r="B39" s="177" t="s">
        <v>270</v>
      </c>
      <c r="C39" s="185">
        <v>1</v>
      </c>
      <c r="D39" s="43"/>
      <c r="E39" s="170"/>
      <c r="F39" s="175"/>
      <c r="G39" s="43"/>
      <c r="H39" s="43"/>
      <c r="I39" s="43"/>
      <c r="J39" s="43"/>
      <c r="K39" s="43"/>
      <c r="L39" s="43"/>
      <c r="M39" s="57"/>
      <c r="N39" s="176"/>
      <c r="O39" s="57"/>
      <c r="P39" s="57"/>
      <c r="Q39" s="57"/>
      <c r="R39" s="57"/>
      <c r="S39" s="57"/>
      <c r="T39" s="57"/>
      <c r="U39" s="57"/>
      <c r="V39" s="57"/>
      <c r="W39" s="57"/>
    </row>
    <row r="40" spans="1:23" ht="51">
      <c r="A40" s="52" t="s">
        <v>271</v>
      </c>
      <c r="B40" s="171" t="s">
        <v>84</v>
      </c>
      <c r="C40" s="170">
        <v>1</v>
      </c>
      <c r="D40" s="43">
        <f>+E40</f>
        <v>121500000</v>
      </c>
      <c r="E40" s="170">
        <f>SUM(F40:L40)</f>
        <v>121500000</v>
      </c>
      <c r="F40" s="175"/>
      <c r="G40" s="43"/>
      <c r="H40" s="43"/>
      <c r="I40" s="43"/>
      <c r="J40" s="43">
        <v>121500000</v>
      </c>
      <c r="K40" s="43"/>
      <c r="L40" s="43"/>
      <c r="M40" s="57"/>
      <c r="N40" s="176"/>
      <c r="O40" s="57"/>
      <c r="P40" s="57"/>
      <c r="Q40" s="57"/>
      <c r="R40" s="57"/>
      <c r="S40" s="57"/>
      <c r="T40" s="57"/>
      <c r="U40" s="57"/>
      <c r="V40" s="57"/>
      <c r="W40" s="57"/>
    </row>
    <row r="41" spans="1:23" ht="25.5">
      <c r="A41" s="168" t="s">
        <v>272</v>
      </c>
      <c r="B41" s="186" t="s">
        <v>15</v>
      </c>
      <c r="C41" s="187">
        <v>90</v>
      </c>
      <c r="D41" s="170"/>
      <c r="E41" s="170">
        <f>SUM(F41:L41)</f>
        <v>0</v>
      </c>
      <c r="F41" s="175"/>
      <c r="G41" s="43"/>
      <c r="H41" s="43"/>
      <c r="I41" s="43"/>
      <c r="J41" s="43"/>
      <c r="K41" s="43"/>
      <c r="L41" s="43"/>
      <c r="M41" s="57"/>
      <c r="N41" s="176"/>
      <c r="O41" s="57"/>
      <c r="P41" s="57"/>
      <c r="Q41" s="57"/>
      <c r="R41" s="57"/>
      <c r="S41" s="57"/>
      <c r="T41" s="57"/>
      <c r="U41" s="57"/>
      <c r="V41" s="57"/>
      <c r="W41" s="57"/>
    </row>
    <row r="42" spans="1:23" ht="25.5">
      <c r="A42" s="52" t="s">
        <v>273</v>
      </c>
      <c r="B42" s="171" t="s">
        <v>84</v>
      </c>
      <c r="C42" s="170">
        <v>1</v>
      </c>
      <c r="D42" s="43">
        <f>+E42</f>
        <v>52837064</v>
      </c>
      <c r="E42" s="170">
        <f>+J42</f>
        <v>52837064</v>
      </c>
      <c r="F42" s="175"/>
      <c r="G42" s="43"/>
      <c r="H42" s="43"/>
      <c r="I42" s="43"/>
      <c r="J42" s="43">
        <f>35000000+17837064</f>
        <v>52837064</v>
      </c>
      <c r="K42" s="43"/>
      <c r="L42" s="43"/>
      <c r="M42" s="57"/>
      <c r="N42" s="176"/>
      <c r="O42" s="57"/>
      <c r="P42" s="57"/>
      <c r="Q42" s="57"/>
      <c r="R42" s="57"/>
      <c r="S42" s="57"/>
      <c r="T42" s="57"/>
      <c r="U42" s="57"/>
      <c r="V42" s="57"/>
      <c r="W42" s="57"/>
    </row>
    <row r="43" spans="1:23" ht="15" customHeight="1">
      <c r="A43" s="279" t="s">
        <v>37</v>
      </c>
      <c r="B43" s="279"/>
      <c r="C43" s="279"/>
      <c r="D43" s="279"/>
      <c r="E43" s="188">
        <f>SUM(E7:E42)</f>
        <v>2487631737.8057504</v>
      </c>
      <c r="F43" s="188">
        <f>SUM(F7:F41)</f>
        <v>0</v>
      </c>
      <c r="G43" s="188">
        <f>SUM(G7:G41)</f>
        <v>791245017.62575054</v>
      </c>
      <c r="H43" s="188">
        <f>SUM(H7:H41)</f>
        <v>0</v>
      </c>
      <c r="I43" s="188">
        <f>SUM(I7:I41)</f>
        <v>0</v>
      </c>
      <c r="J43" s="188">
        <f>SUM(J7:J42)</f>
        <v>1696386720.1800001</v>
      </c>
      <c r="K43" s="188">
        <f>SUM(K7:K41)</f>
        <v>0</v>
      </c>
      <c r="L43" s="188">
        <f>SUM(L7:L41)</f>
        <v>0</v>
      </c>
      <c r="M43" s="57"/>
      <c r="N43" s="176"/>
      <c r="O43" s="57"/>
      <c r="P43" s="57"/>
      <c r="Q43" s="57"/>
      <c r="R43" s="57"/>
      <c r="S43" s="57"/>
      <c r="T43" s="57"/>
      <c r="U43" s="57"/>
      <c r="V43" s="57"/>
      <c r="W43" s="57"/>
    </row>
    <row r="44" spans="1:23">
      <c r="A44" s="280" t="s">
        <v>38</v>
      </c>
      <c r="B44" s="280"/>
      <c r="C44" s="280"/>
      <c r="D44" s="280"/>
      <c r="E44" s="189">
        <f>+'FUENTES Y USOS'!S14</f>
        <v>2487631737.8057508</v>
      </c>
      <c r="F44" s="189">
        <f>+'FUENTES Y USOS'!M14</f>
        <v>0</v>
      </c>
      <c r="G44" s="189">
        <f>+'FUENTES Y USOS'!N14</f>
        <v>791245017.62575054</v>
      </c>
      <c r="H44" s="189">
        <f>+'FUENTES Y USOS'!O14</f>
        <v>0</v>
      </c>
      <c r="I44" s="189">
        <f>+'FUENTES Y USOS'!P14</f>
        <v>0</v>
      </c>
      <c r="J44" s="189">
        <f>+'FUENTES Y USOS'!Q14</f>
        <v>1696386720.1800001</v>
      </c>
      <c r="K44" s="189">
        <f>+'FUENTES Y USOS'!R14</f>
        <v>0</v>
      </c>
      <c r="L44" s="189">
        <v>0</v>
      </c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</row>
    <row r="45" spans="1:23">
      <c r="A45" s="279" t="s">
        <v>39</v>
      </c>
      <c r="B45" s="279"/>
      <c r="C45" s="279"/>
      <c r="D45" s="279"/>
      <c r="E45" s="60">
        <f>+E44-E43</f>
        <v>0</v>
      </c>
      <c r="F45" s="60">
        <f t="shared" ref="F45:L45" si="2">+F44-F43</f>
        <v>0</v>
      </c>
      <c r="G45" s="60">
        <f t="shared" si="2"/>
        <v>0</v>
      </c>
      <c r="H45" s="60">
        <f t="shared" si="2"/>
        <v>0</v>
      </c>
      <c r="I45" s="60">
        <f t="shared" si="2"/>
        <v>0</v>
      </c>
      <c r="J45" s="60">
        <f t="shared" si="2"/>
        <v>0</v>
      </c>
      <c r="K45" s="60">
        <f t="shared" si="2"/>
        <v>0</v>
      </c>
      <c r="L45" s="60">
        <f t="shared" si="2"/>
        <v>0</v>
      </c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</row>
    <row r="46" spans="1:23">
      <c r="E46" s="190"/>
    </row>
    <row r="47" spans="1:23">
      <c r="A47" s="85"/>
      <c r="B47" s="292" t="s">
        <v>40</v>
      </c>
      <c r="C47" s="292"/>
      <c r="D47" s="292"/>
      <c r="E47" s="292"/>
    </row>
    <row r="48" spans="1:23">
      <c r="A48" s="86"/>
      <c r="B48" s="292" t="s">
        <v>42</v>
      </c>
      <c r="C48" s="292"/>
      <c r="D48" s="292"/>
      <c r="E48" s="292"/>
    </row>
    <row r="49" spans="1:5">
      <c r="A49" s="192"/>
      <c r="B49" s="192"/>
      <c r="C49" s="192"/>
      <c r="D49" s="192"/>
      <c r="E49" s="192"/>
    </row>
  </sheetData>
  <mergeCells count="16">
    <mergeCell ref="B47:E47"/>
    <mergeCell ref="B48:E48"/>
    <mergeCell ref="B1:J3"/>
    <mergeCell ref="K1:L1"/>
    <mergeCell ref="K2:L2"/>
    <mergeCell ref="K3:L3"/>
    <mergeCell ref="A43:D43"/>
    <mergeCell ref="A44:D44"/>
    <mergeCell ref="A45:D45"/>
    <mergeCell ref="A4:L4"/>
    <mergeCell ref="A5:A6"/>
    <mergeCell ref="B5:B6"/>
    <mergeCell ref="C5:C6"/>
    <mergeCell ref="D5:D6"/>
    <mergeCell ref="E5:E6"/>
    <mergeCell ref="F5:L5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7"/>
  <sheetViews>
    <sheetView zoomScale="90" zoomScaleNormal="90" workbookViewId="0">
      <pane xSplit="4" ySplit="6" topLeftCell="E7" activePane="bottomRight" state="frozen"/>
      <selection pane="topRight" activeCell="F1" sqref="F1"/>
      <selection pane="bottomLeft" activeCell="A4" sqref="A4"/>
      <selection pane="bottomRight" sqref="A1:L3"/>
    </sheetView>
  </sheetViews>
  <sheetFormatPr baseColWidth="10" defaultRowHeight="12.75"/>
  <cols>
    <col min="1" max="1" width="33.5703125" style="192" customWidth="1"/>
    <col min="2" max="2" width="18.85546875" style="192" bestFit="1" customWidth="1"/>
    <col min="3" max="3" width="11.42578125" style="192"/>
    <col min="4" max="4" width="18.5703125" style="192" customWidth="1"/>
    <col min="5" max="5" width="14.140625" style="192" customWidth="1"/>
    <col min="6" max="6" width="15.140625" style="192" customWidth="1"/>
    <col min="7" max="7" width="16" style="192" customWidth="1"/>
    <col min="8" max="9" width="11.42578125" style="192"/>
    <col min="10" max="10" width="16.140625" style="192" customWidth="1"/>
    <col min="11" max="12" width="11.42578125" style="192"/>
    <col min="13" max="13" width="13.85546875" style="192" bestFit="1" customWidth="1"/>
    <col min="14" max="256" width="11.42578125" style="192"/>
    <col min="257" max="257" width="33.5703125" style="192" customWidth="1"/>
    <col min="258" max="258" width="18.85546875" style="192" bestFit="1" customWidth="1"/>
    <col min="259" max="259" width="11.42578125" style="192"/>
    <col min="260" max="260" width="18.5703125" style="192" customWidth="1"/>
    <col min="261" max="261" width="14.140625" style="192" customWidth="1"/>
    <col min="262" max="262" width="15.140625" style="192" customWidth="1"/>
    <col min="263" max="263" width="16" style="192" customWidth="1"/>
    <col min="264" max="265" width="11.42578125" style="192"/>
    <col min="266" max="266" width="16.140625" style="192" customWidth="1"/>
    <col min="267" max="268" width="11.42578125" style="192"/>
    <col min="269" max="269" width="13.85546875" style="192" bestFit="1" customWidth="1"/>
    <col min="270" max="512" width="11.42578125" style="192"/>
    <col min="513" max="513" width="33.5703125" style="192" customWidth="1"/>
    <col min="514" max="514" width="18.85546875" style="192" bestFit="1" customWidth="1"/>
    <col min="515" max="515" width="11.42578125" style="192"/>
    <col min="516" max="516" width="18.5703125" style="192" customWidth="1"/>
    <col min="517" max="517" width="14.140625" style="192" customWidth="1"/>
    <col min="518" max="518" width="15.140625" style="192" customWidth="1"/>
    <col min="519" max="519" width="16" style="192" customWidth="1"/>
    <col min="520" max="521" width="11.42578125" style="192"/>
    <col min="522" max="522" width="16.140625" style="192" customWidth="1"/>
    <col min="523" max="524" width="11.42578125" style="192"/>
    <col min="525" max="525" width="13.85546875" style="192" bestFit="1" customWidth="1"/>
    <col min="526" max="768" width="11.42578125" style="192"/>
    <col min="769" max="769" width="33.5703125" style="192" customWidth="1"/>
    <col min="770" max="770" width="18.85546875" style="192" bestFit="1" customWidth="1"/>
    <col min="771" max="771" width="11.42578125" style="192"/>
    <col min="772" max="772" width="18.5703125" style="192" customWidth="1"/>
    <col min="773" max="773" width="14.140625" style="192" customWidth="1"/>
    <col min="774" max="774" width="15.140625" style="192" customWidth="1"/>
    <col min="775" max="775" width="16" style="192" customWidth="1"/>
    <col min="776" max="777" width="11.42578125" style="192"/>
    <col min="778" max="778" width="16.140625" style="192" customWidth="1"/>
    <col min="779" max="780" width="11.42578125" style="192"/>
    <col min="781" max="781" width="13.85546875" style="192" bestFit="1" customWidth="1"/>
    <col min="782" max="1024" width="11.42578125" style="192"/>
    <col min="1025" max="1025" width="33.5703125" style="192" customWidth="1"/>
    <col min="1026" max="1026" width="18.85546875" style="192" bestFit="1" customWidth="1"/>
    <col min="1027" max="1027" width="11.42578125" style="192"/>
    <col min="1028" max="1028" width="18.5703125" style="192" customWidth="1"/>
    <col min="1029" max="1029" width="14.140625" style="192" customWidth="1"/>
    <col min="1030" max="1030" width="15.140625" style="192" customWidth="1"/>
    <col min="1031" max="1031" width="16" style="192" customWidth="1"/>
    <col min="1032" max="1033" width="11.42578125" style="192"/>
    <col min="1034" max="1034" width="16.140625" style="192" customWidth="1"/>
    <col min="1035" max="1036" width="11.42578125" style="192"/>
    <col min="1037" max="1037" width="13.85546875" style="192" bestFit="1" customWidth="1"/>
    <col min="1038" max="1280" width="11.42578125" style="192"/>
    <col min="1281" max="1281" width="33.5703125" style="192" customWidth="1"/>
    <col min="1282" max="1282" width="18.85546875" style="192" bestFit="1" customWidth="1"/>
    <col min="1283" max="1283" width="11.42578125" style="192"/>
    <col min="1284" max="1284" width="18.5703125" style="192" customWidth="1"/>
    <col min="1285" max="1285" width="14.140625" style="192" customWidth="1"/>
    <col min="1286" max="1286" width="15.140625" style="192" customWidth="1"/>
    <col min="1287" max="1287" width="16" style="192" customWidth="1"/>
    <col min="1288" max="1289" width="11.42578125" style="192"/>
    <col min="1290" max="1290" width="16.140625" style="192" customWidth="1"/>
    <col min="1291" max="1292" width="11.42578125" style="192"/>
    <col min="1293" max="1293" width="13.85546875" style="192" bestFit="1" customWidth="1"/>
    <col min="1294" max="1536" width="11.42578125" style="192"/>
    <col min="1537" max="1537" width="33.5703125" style="192" customWidth="1"/>
    <col min="1538" max="1538" width="18.85546875" style="192" bestFit="1" customWidth="1"/>
    <col min="1539" max="1539" width="11.42578125" style="192"/>
    <col min="1540" max="1540" width="18.5703125" style="192" customWidth="1"/>
    <col min="1541" max="1541" width="14.140625" style="192" customWidth="1"/>
    <col min="1542" max="1542" width="15.140625" style="192" customWidth="1"/>
    <col min="1543" max="1543" width="16" style="192" customWidth="1"/>
    <col min="1544" max="1545" width="11.42578125" style="192"/>
    <col min="1546" max="1546" width="16.140625" style="192" customWidth="1"/>
    <col min="1547" max="1548" width="11.42578125" style="192"/>
    <col min="1549" max="1549" width="13.85546875" style="192" bestFit="1" customWidth="1"/>
    <col min="1550" max="1792" width="11.42578125" style="192"/>
    <col min="1793" max="1793" width="33.5703125" style="192" customWidth="1"/>
    <col min="1794" max="1794" width="18.85546875" style="192" bestFit="1" customWidth="1"/>
    <col min="1795" max="1795" width="11.42578125" style="192"/>
    <col min="1796" max="1796" width="18.5703125" style="192" customWidth="1"/>
    <col min="1797" max="1797" width="14.140625" style="192" customWidth="1"/>
    <col min="1798" max="1798" width="15.140625" style="192" customWidth="1"/>
    <col min="1799" max="1799" width="16" style="192" customWidth="1"/>
    <col min="1800" max="1801" width="11.42578125" style="192"/>
    <col min="1802" max="1802" width="16.140625" style="192" customWidth="1"/>
    <col min="1803" max="1804" width="11.42578125" style="192"/>
    <col min="1805" max="1805" width="13.85546875" style="192" bestFit="1" customWidth="1"/>
    <col min="1806" max="2048" width="11.42578125" style="192"/>
    <col min="2049" max="2049" width="33.5703125" style="192" customWidth="1"/>
    <col min="2050" max="2050" width="18.85546875" style="192" bestFit="1" customWidth="1"/>
    <col min="2051" max="2051" width="11.42578125" style="192"/>
    <col min="2052" max="2052" width="18.5703125" style="192" customWidth="1"/>
    <col min="2053" max="2053" width="14.140625" style="192" customWidth="1"/>
    <col min="2054" max="2054" width="15.140625" style="192" customWidth="1"/>
    <col min="2055" max="2055" width="16" style="192" customWidth="1"/>
    <col min="2056" max="2057" width="11.42578125" style="192"/>
    <col min="2058" max="2058" width="16.140625" style="192" customWidth="1"/>
    <col min="2059" max="2060" width="11.42578125" style="192"/>
    <col min="2061" max="2061" width="13.85546875" style="192" bestFit="1" customWidth="1"/>
    <col min="2062" max="2304" width="11.42578125" style="192"/>
    <col min="2305" max="2305" width="33.5703125" style="192" customWidth="1"/>
    <col min="2306" max="2306" width="18.85546875" style="192" bestFit="1" customWidth="1"/>
    <col min="2307" max="2307" width="11.42578125" style="192"/>
    <col min="2308" max="2308" width="18.5703125" style="192" customWidth="1"/>
    <col min="2309" max="2309" width="14.140625" style="192" customWidth="1"/>
    <col min="2310" max="2310" width="15.140625" style="192" customWidth="1"/>
    <col min="2311" max="2311" width="16" style="192" customWidth="1"/>
    <col min="2312" max="2313" width="11.42578125" style="192"/>
    <col min="2314" max="2314" width="16.140625" style="192" customWidth="1"/>
    <col min="2315" max="2316" width="11.42578125" style="192"/>
    <col min="2317" max="2317" width="13.85546875" style="192" bestFit="1" customWidth="1"/>
    <col min="2318" max="2560" width="11.42578125" style="192"/>
    <col min="2561" max="2561" width="33.5703125" style="192" customWidth="1"/>
    <col min="2562" max="2562" width="18.85546875" style="192" bestFit="1" customWidth="1"/>
    <col min="2563" max="2563" width="11.42578125" style="192"/>
    <col min="2564" max="2564" width="18.5703125" style="192" customWidth="1"/>
    <col min="2565" max="2565" width="14.140625" style="192" customWidth="1"/>
    <col min="2566" max="2566" width="15.140625" style="192" customWidth="1"/>
    <col min="2567" max="2567" width="16" style="192" customWidth="1"/>
    <col min="2568" max="2569" width="11.42578125" style="192"/>
    <col min="2570" max="2570" width="16.140625" style="192" customWidth="1"/>
    <col min="2571" max="2572" width="11.42578125" style="192"/>
    <col min="2573" max="2573" width="13.85546875" style="192" bestFit="1" customWidth="1"/>
    <col min="2574" max="2816" width="11.42578125" style="192"/>
    <col min="2817" max="2817" width="33.5703125" style="192" customWidth="1"/>
    <col min="2818" max="2818" width="18.85546875" style="192" bestFit="1" customWidth="1"/>
    <col min="2819" max="2819" width="11.42578125" style="192"/>
    <col min="2820" max="2820" width="18.5703125" style="192" customWidth="1"/>
    <col min="2821" max="2821" width="14.140625" style="192" customWidth="1"/>
    <col min="2822" max="2822" width="15.140625" style="192" customWidth="1"/>
    <col min="2823" max="2823" width="16" style="192" customWidth="1"/>
    <col min="2824" max="2825" width="11.42578125" style="192"/>
    <col min="2826" max="2826" width="16.140625" style="192" customWidth="1"/>
    <col min="2827" max="2828" width="11.42578125" style="192"/>
    <col min="2829" max="2829" width="13.85546875" style="192" bestFit="1" customWidth="1"/>
    <col min="2830" max="3072" width="11.42578125" style="192"/>
    <col min="3073" max="3073" width="33.5703125" style="192" customWidth="1"/>
    <col min="3074" max="3074" width="18.85546875" style="192" bestFit="1" customWidth="1"/>
    <col min="3075" max="3075" width="11.42578125" style="192"/>
    <col min="3076" max="3076" width="18.5703125" style="192" customWidth="1"/>
    <col min="3077" max="3077" width="14.140625" style="192" customWidth="1"/>
    <col min="3078" max="3078" width="15.140625" style="192" customWidth="1"/>
    <col min="3079" max="3079" width="16" style="192" customWidth="1"/>
    <col min="3080" max="3081" width="11.42578125" style="192"/>
    <col min="3082" max="3082" width="16.140625" style="192" customWidth="1"/>
    <col min="3083" max="3084" width="11.42578125" style="192"/>
    <col min="3085" max="3085" width="13.85546875" style="192" bestFit="1" customWidth="1"/>
    <col min="3086" max="3328" width="11.42578125" style="192"/>
    <col min="3329" max="3329" width="33.5703125" style="192" customWidth="1"/>
    <col min="3330" max="3330" width="18.85546875" style="192" bestFit="1" customWidth="1"/>
    <col min="3331" max="3331" width="11.42578125" style="192"/>
    <col min="3332" max="3332" width="18.5703125" style="192" customWidth="1"/>
    <col min="3333" max="3333" width="14.140625" style="192" customWidth="1"/>
    <col min="3334" max="3334" width="15.140625" style="192" customWidth="1"/>
    <col min="3335" max="3335" width="16" style="192" customWidth="1"/>
    <col min="3336" max="3337" width="11.42578125" style="192"/>
    <col min="3338" max="3338" width="16.140625" style="192" customWidth="1"/>
    <col min="3339" max="3340" width="11.42578125" style="192"/>
    <col min="3341" max="3341" width="13.85546875" style="192" bestFit="1" customWidth="1"/>
    <col min="3342" max="3584" width="11.42578125" style="192"/>
    <col min="3585" max="3585" width="33.5703125" style="192" customWidth="1"/>
    <col min="3586" max="3586" width="18.85546875" style="192" bestFit="1" customWidth="1"/>
    <col min="3587" max="3587" width="11.42578125" style="192"/>
    <col min="3588" max="3588" width="18.5703125" style="192" customWidth="1"/>
    <col min="3589" max="3589" width="14.140625" style="192" customWidth="1"/>
    <col min="3590" max="3590" width="15.140625" style="192" customWidth="1"/>
    <col min="3591" max="3591" width="16" style="192" customWidth="1"/>
    <col min="3592" max="3593" width="11.42578125" style="192"/>
    <col min="3594" max="3594" width="16.140625" style="192" customWidth="1"/>
    <col min="3595" max="3596" width="11.42578125" style="192"/>
    <col min="3597" max="3597" width="13.85546875" style="192" bestFit="1" customWidth="1"/>
    <col min="3598" max="3840" width="11.42578125" style="192"/>
    <col min="3841" max="3841" width="33.5703125" style="192" customWidth="1"/>
    <col min="3842" max="3842" width="18.85546875" style="192" bestFit="1" customWidth="1"/>
    <col min="3843" max="3843" width="11.42578125" style="192"/>
    <col min="3844" max="3844" width="18.5703125" style="192" customWidth="1"/>
    <col min="3845" max="3845" width="14.140625" style="192" customWidth="1"/>
    <col min="3846" max="3846" width="15.140625" style="192" customWidth="1"/>
    <col min="3847" max="3847" width="16" style="192" customWidth="1"/>
    <col min="3848" max="3849" width="11.42578125" style="192"/>
    <col min="3850" max="3850" width="16.140625" style="192" customWidth="1"/>
    <col min="3851" max="3852" width="11.42578125" style="192"/>
    <col min="3853" max="3853" width="13.85546875" style="192" bestFit="1" customWidth="1"/>
    <col min="3854" max="4096" width="11.42578125" style="192"/>
    <col min="4097" max="4097" width="33.5703125" style="192" customWidth="1"/>
    <col min="4098" max="4098" width="18.85546875" style="192" bestFit="1" customWidth="1"/>
    <col min="4099" max="4099" width="11.42578125" style="192"/>
    <col min="4100" max="4100" width="18.5703125" style="192" customWidth="1"/>
    <col min="4101" max="4101" width="14.140625" style="192" customWidth="1"/>
    <col min="4102" max="4102" width="15.140625" style="192" customWidth="1"/>
    <col min="4103" max="4103" width="16" style="192" customWidth="1"/>
    <col min="4104" max="4105" width="11.42578125" style="192"/>
    <col min="4106" max="4106" width="16.140625" style="192" customWidth="1"/>
    <col min="4107" max="4108" width="11.42578125" style="192"/>
    <col min="4109" max="4109" width="13.85546875" style="192" bestFit="1" customWidth="1"/>
    <col min="4110" max="4352" width="11.42578125" style="192"/>
    <col min="4353" max="4353" width="33.5703125" style="192" customWidth="1"/>
    <col min="4354" max="4354" width="18.85546875" style="192" bestFit="1" customWidth="1"/>
    <col min="4355" max="4355" width="11.42578125" style="192"/>
    <col min="4356" max="4356" width="18.5703125" style="192" customWidth="1"/>
    <col min="4357" max="4357" width="14.140625" style="192" customWidth="1"/>
    <col min="4358" max="4358" width="15.140625" style="192" customWidth="1"/>
    <col min="4359" max="4359" width="16" style="192" customWidth="1"/>
    <col min="4360" max="4361" width="11.42578125" style="192"/>
    <col min="4362" max="4362" width="16.140625" style="192" customWidth="1"/>
    <col min="4363" max="4364" width="11.42578125" style="192"/>
    <col min="4365" max="4365" width="13.85546875" style="192" bestFit="1" customWidth="1"/>
    <col min="4366" max="4608" width="11.42578125" style="192"/>
    <col min="4609" max="4609" width="33.5703125" style="192" customWidth="1"/>
    <col min="4610" max="4610" width="18.85546875" style="192" bestFit="1" customWidth="1"/>
    <col min="4611" max="4611" width="11.42578125" style="192"/>
    <col min="4612" max="4612" width="18.5703125" style="192" customWidth="1"/>
    <col min="4613" max="4613" width="14.140625" style="192" customWidth="1"/>
    <col min="4614" max="4614" width="15.140625" style="192" customWidth="1"/>
    <col min="4615" max="4615" width="16" style="192" customWidth="1"/>
    <col min="4616" max="4617" width="11.42578125" style="192"/>
    <col min="4618" max="4618" width="16.140625" style="192" customWidth="1"/>
    <col min="4619" max="4620" width="11.42578125" style="192"/>
    <col min="4621" max="4621" width="13.85546875" style="192" bestFit="1" customWidth="1"/>
    <col min="4622" max="4864" width="11.42578125" style="192"/>
    <col min="4865" max="4865" width="33.5703125" style="192" customWidth="1"/>
    <col min="4866" max="4866" width="18.85546875" style="192" bestFit="1" customWidth="1"/>
    <col min="4867" max="4867" width="11.42578125" style="192"/>
    <col min="4868" max="4868" width="18.5703125" style="192" customWidth="1"/>
    <col min="4869" max="4869" width="14.140625" style="192" customWidth="1"/>
    <col min="4870" max="4870" width="15.140625" style="192" customWidth="1"/>
    <col min="4871" max="4871" width="16" style="192" customWidth="1"/>
    <col min="4872" max="4873" width="11.42578125" style="192"/>
    <col min="4874" max="4874" width="16.140625" style="192" customWidth="1"/>
    <col min="4875" max="4876" width="11.42578125" style="192"/>
    <col min="4877" max="4877" width="13.85546875" style="192" bestFit="1" customWidth="1"/>
    <col min="4878" max="5120" width="11.42578125" style="192"/>
    <col min="5121" max="5121" width="33.5703125" style="192" customWidth="1"/>
    <col min="5122" max="5122" width="18.85546875" style="192" bestFit="1" customWidth="1"/>
    <col min="5123" max="5123" width="11.42578125" style="192"/>
    <col min="5124" max="5124" width="18.5703125" style="192" customWidth="1"/>
    <col min="5125" max="5125" width="14.140625" style="192" customWidth="1"/>
    <col min="5126" max="5126" width="15.140625" style="192" customWidth="1"/>
    <col min="5127" max="5127" width="16" style="192" customWidth="1"/>
    <col min="5128" max="5129" width="11.42578125" style="192"/>
    <col min="5130" max="5130" width="16.140625" style="192" customWidth="1"/>
    <col min="5131" max="5132" width="11.42578125" style="192"/>
    <col min="5133" max="5133" width="13.85546875" style="192" bestFit="1" customWidth="1"/>
    <col min="5134" max="5376" width="11.42578125" style="192"/>
    <col min="5377" max="5377" width="33.5703125" style="192" customWidth="1"/>
    <col min="5378" max="5378" width="18.85546875" style="192" bestFit="1" customWidth="1"/>
    <col min="5379" max="5379" width="11.42578125" style="192"/>
    <col min="5380" max="5380" width="18.5703125" style="192" customWidth="1"/>
    <col min="5381" max="5381" width="14.140625" style="192" customWidth="1"/>
    <col min="5382" max="5382" width="15.140625" style="192" customWidth="1"/>
    <col min="5383" max="5383" width="16" style="192" customWidth="1"/>
    <col min="5384" max="5385" width="11.42578125" style="192"/>
    <col min="5386" max="5386" width="16.140625" style="192" customWidth="1"/>
    <col min="5387" max="5388" width="11.42578125" style="192"/>
    <col min="5389" max="5389" width="13.85546875" style="192" bestFit="1" customWidth="1"/>
    <col min="5390" max="5632" width="11.42578125" style="192"/>
    <col min="5633" max="5633" width="33.5703125" style="192" customWidth="1"/>
    <col min="5634" max="5634" width="18.85546875" style="192" bestFit="1" customWidth="1"/>
    <col min="5635" max="5635" width="11.42578125" style="192"/>
    <col min="5636" max="5636" width="18.5703125" style="192" customWidth="1"/>
    <col min="5637" max="5637" width="14.140625" style="192" customWidth="1"/>
    <col min="5638" max="5638" width="15.140625" style="192" customWidth="1"/>
    <col min="5639" max="5639" width="16" style="192" customWidth="1"/>
    <col min="5640" max="5641" width="11.42578125" style="192"/>
    <col min="5642" max="5642" width="16.140625" style="192" customWidth="1"/>
    <col min="5643" max="5644" width="11.42578125" style="192"/>
    <col min="5645" max="5645" width="13.85546875" style="192" bestFit="1" customWidth="1"/>
    <col min="5646" max="5888" width="11.42578125" style="192"/>
    <col min="5889" max="5889" width="33.5703125" style="192" customWidth="1"/>
    <col min="5890" max="5890" width="18.85546875" style="192" bestFit="1" customWidth="1"/>
    <col min="5891" max="5891" width="11.42578125" style="192"/>
    <col min="5892" max="5892" width="18.5703125" style="192" customWidth="1"/>
    <col min="5893" max="5893" width="14.140625" style="192" customWidth="1"/>
    <col min="5894" max="5894" width="15.140625" style="192" customWidth="1"/>
    <col min="5895" max="5895" width="16" style="192" customWidth="1"/>
    <col min="5896" max="5897" width="11.42578125" style="192"/>
    <col min="5898" max="5898" width="16.140625" style="192" customWidth="1"/>
    <col min="5899" max="5900" width="11.42578125" style="192"/>
    <col min="5901" max="5901" width="13.85546875" style="192" bestFit="1" customWidth="1"/>
    <col min="5902" max="6144" width="11.42578125" style="192"/>
    <col min="6145" max="6145" width="33.5703125" style="192" customWidth="1"/>
    <col min="6146" max="6146" width="18.85546875" style="192" bestFit="1" customWidth="1"/>
    <col min="6147" max="6147" width="11.42578125" style="192"/>
    <col min="6148" max="6148" width="18.5703125" style="192" customWidth="1"/>
    <col min="6149" max="6149" width="14.140625" style="192" customWidth="1"/>
    <col min="6150" max="6150" width="15.140625" style="192" customWidth="1"/>
    <col min="6151" max="6151" width="16" style="192" customWidth="1"/>
    <col min="6152" max="6153" width="11.42578125" style="192"/>
    <col min="6154" max="6154" width="16.140625" style="192" customWidth="1"/>
    <col min="6155" max="6156" width="11.42578125" style="192"/>
    <col min="6157" max="6157" width="13.85546875" style="192" bestFit="1" customWidth="1"/>
    <col min="6158" max="6400" width="11.42578125" style="192"/>
    <col min="6401" max="6401" width="33.5703125" style="192" customWidth="1"/>
    <col min="6402" max="6402" width="18.85546875" style="192" bestFit="1" customWidth="1"/>
    <col min="6403" max="6403" width="11.42578125" style="192"/>
    <col min="6404" max="6404" width="18.5703125" style="192" customWidth="1"/>
    <col min="6405" max="6405" width="14.140625" style="192" customWidth="1"/>
    <col min="6406" max="6406" width="15.140625" style="192" customWidth="1"/>
    <col min="6407" max="6407" width="16" style="192" customWidth="1"/>
    <col min="6408" max="6409" width="11.42578125" style="192"/>
    <col min="6410" max="6410" width="16.140625" style="192" customWidth="1"/>
    <col min="6411" max="6412" width="11.42578125" style="192"/>
    <col min="6413" max="6413" width="13.85546875" style="192" bestFit="1" customWidth="1"/>
    <col min="6414" max="6656" width="11.42578125" style="192"/>
    <col min="6657" max="6657" width="33.5703125" style="192" customWidth="1"/>
    <col min="6658" max="6658" width="18.85546875" style="192" bestFit="1" customWidth="1"/>
    <col min="6659" max="6659" width="11.42578125" style="192"/>
    <col min="6660" max="6660" width="18.5703125" style="192" customWidth="1"/>
    <col min="6661" max="6661" width="14.140625" style="192" customWidth="1"/>
    <col min="6662" max="6662" width="15.140625" style="192" customWidth="1"/>
    <col min="6663" max="6663" width="16" style="192" customWidth="1"/>
    <col min="6664" max="6665" width="11.42578125" style="192"/>
    <col min="6666" max="6666" width="16.140625" style="192" customWidth="1"/>
    <col min="6667" max="6668" width="11.42578125" style="192"/>
    <col min="6669" max="6669" width="13.85546875" style="192" bestFit="1" customWidth="1"/>
    <col min="6670" max="6912" width="11.42578125" style="192"/>
    <col min="6913" max="6913" width="33.5703125" style="192" customWidth="1"/>
    <col min="6914" max="6914" width="18.85546875" style="192" bestFit="1" customWidth="1"/>
    <col min="6915" max="6915" width="11.42578125" style="192"/>
    <col min="6916" max="6916" width="18.5703125" style="192" customWidth="1"/>
    <col min="6917" max="6917" width="14.140625" style="192" customWidth="1"/>
    <col min="6918" max="6918" width="15.140625" style="192" customWidth="1"/>
    <col min="6919" max="6919" width="16" style="192" customWidth="1"/>
    <col min="6920" max="6921" width="11.42578125" style="192"/>
    <col min="6922" max="6922" width="16.140625" style="192" customWidth="1"/>
    <col min="6923" max="6924" width="11.42578125" style="192"/>
    <col min="6925" max="6925" width="13.85546875" style="192" bestFit="1" customWidth="1"/>
    <col min="6926" max="7168" width="11.42578125" style="192"/>
    <col min="7169" max="7169" width="33.5703125" style="192" customWidth="1"/>
    <col min="7170" max="7170" width="18.85546875" style="192" bestFit="1" customWidth="1"/>
    <col min="7171" max="7171" width="11.42578125" style="192"/>
    <col min="7172" max="7172" width="18.5703125" style="192" customWidth="1"/>
    <col min="7173" max="7173" width="14.140625" style="192" customWidth="1"/>
    <col min="7174" max="7174" width="15.140625" style="192" customWidth="1"/>
    <col min="7175" max="7175" width="16" style="192" customWidth="1"/>
    <col min="7176" max="7177" width="11.42578125" style="192"/>
    <col min="7178" max="7178" width="16.140625" style="192" customWidth="1"/>
    <col min="7179" max="7180" width="11.42578125" style="192"/>
    <col min="7181" max="7181" width="13.85546875" style="192" bestFit="1" customWidth="1"/>
    <col min="7182" max="7424" width="11.42578125" style="192"/>
    <col min="7425" max="7425" width="33.5703125" style="192" customWidth="1"/>
    <col min="7426" max="7426" width="18.85546875" style="192" bestFit="1" customWidth="1"/>
    <col min="7427" max="7427" width="11.42578125" style="192"/>
    <col min="7428" max="7428" width="18.5703125" style="192" customWidth="1"/>
    <col min="7429" max="7429" width="14.140625" style="192" customWidth="1"/>
    <col min="7430" max="7430" width="15.140625" style="192" customWidth="1"/>
    <col min="7431" max="7431" width="16" style="192" customWidth="1"/>
    <col min="7432" max="7433" width="11.42578125" style="192"/>
    <col min="7434" max="7434" width="16.140625" style="192" customWidth="1"/>
    <col min="7435" max="7436" width="11.42578125" style="192"/>
    <col min="7437" max="7437" width="13.85546875" style="192" bestFit="1" customWidth="1"/>
    <col min="7438" max="7680" width="11.42578125" style="192"/>
    <col min="7681" max="7681" width="33.5703125" style="192" customWidth="1"/>
    <col min="7682" max="7682" width="18.85546875" style="192" bestFit="1" customWidth="1"/>
    <col min="7683" max="7683" width="11.42578125" style="192"/>
    <col min="7684" max="7684" width="18.5703125" style="192" customWidth="1"/>
    <col min="7685" max="7685" width="14.140625" style="192" customWidth="1"/>
    <col min="7686" max="7686" width="15.140625" style="192" customWidth="1"/>
    <col min="7687" max="7687" width="16" style="192" customWidth="1"/>
    <col min="7688" max="7689" width="11.42578125" style="192"/>
    <col min="7690" max="7690" width="16.140625" style="192" customWidth="1"/>
    <col min="7691" max="7692" width="11.42578125" style="192"/>
    <col min="7693" max="7693" width="13.85546875" style="192" bestFit="1" customWidth="1"/>
    <col min="7694" max="7936" width="11.42578125" style="192"/>
    <col min="7937" max="7937" width="33.5703125" style="192" customWidth="1"/>
    <col min="7938" max="7938" width="18.85546875" style="192" bestFit="1" customWidth="1"/>
    <col min="7939" max="7939" width="11.42578125" style="192"/>
    <col min="7940" max="7940" width="18.5703125" style="192" customWidth="1"/>
    <col min="7941" max="7941" width="14.140625" style="192" customWidth="1"/>
    <col min="7942" max="7942" width="15.140625" style="192" customWidth="1"/>
    <col min="7943" max="7943" width="16" style="192" customWidth="1"/>
    <col min="7944" max="7945" width="11.42578125" style="192"/>
    <col min="7946" max="7946" width="16.140625" style="192" customWidth="1"/>
    <col min="7947" max="7948" width="11.42578125" style="192"/>
    <col min="7949" max="7949" width="13.85546875" style="192" bestFit="1" customWidth="1"/>
    <col min="7950" max="8192" width="11.42578125" style="192"/>
    <col min="8193" max="8193" width="33.5703125" style="192" customWidth="1"/>
    <col min="8194" max="8194" width="18.85546875" style="192" bestFit="1" customWidth="1"/>
    <col min="8195" max="8195" width="11.42578125" style="192"/>
    <col min="8196" max="8196" width="18.5703125" style="192" customWidth="1"/>
    <col min="8197" max="8197" width="14.140625" style="192" customWidth="1"/>
    <col min="8198" max="8198" width="15.140625" style="192" customWidth="1"/>
    <col min="8199" max="8199" width="16" style="192" customWidth="1"/>
    <col min="8200" max="8201" width="11.42578125" style="192"/>
    <col min="8202" max="8202" width="16.140625" style="192" customWidth="1"/>
    <col min="8203" max="8204" width="11.42578125" style="192"/>
    <col min="8205" max="8205" width="13.85546875" style="192" bestFit="1" customWidth="1"/>
    <col min="8206" max="8448" width="11.42578125" style="192"/>
    <col min="8449" max="8449" width="33.5703125" style="192" customWidth="1"/>
    <col min="8450" max="8450" width="18.85546875" style="192" bestFit="1" customWidth="1"/>
    <col min="8451" max="8451" width="11.42578125" style="192"/>
    <col min="8452" max="8452" width="18.5703125" style="192" customWidth="1"/>
    <col min="8453" max="8453" width="14.140625" style="192" customWidth="1"/>
    <col min="8454" max="8454" width="15.140625" style="192" customWidth="1"/>
    <col min="8455" max="8455" width="16" style="192" customWidth="1"/>
    <col min="8456" max="8457" width="11.42578125" style="192"/>
    <col min="8458" max="8458" width="16.140625" style="192" customWidth="1"/>
    <col min="8459" max="8460" width="11.42578125" style="192"/>
    <col min="8461" max="8461" width="13.85546875" style="192" bestFit="1" customWidth="1"/>
    <col min="8462" max="8704" width="11.42578125" style="192"/>
    <col min="8705" max="8705" width="33.5703125" style="192" customWidth="1"/>
    <col min="8706" max="8706" width="18.85546875" style="192" bestFit="1" customWidth="1"/>
    <col min="8707" max="8707" width="11.42578125" style="192"/>
    <col min="8708" max="8708" width="18.5703125" style="192" customWidth="1"/>
    <col min="8709" max="8709" width="14.140625" style="192" customWidth="1"/>
    <col min="8710" max="8710" width="15.140625" style="192" customWidth="1"/>
    <col min="8711" max="8711" width="16" style="192" customWidth="1"/>
    <col min="8712" max="8713" width="11.42578125" style="192"/>
    <col min="8714" max="8714" width="16.140625" style="192" customWidth="1"/>
    <col min="8715" max="8716" width="11.42578125" style="192"/>
    <col min="8717" max="8717" width="13.85546875" style="192" bestFit="1" customWidth="1"/>
    <col min="8718" max="8960" width="11.42578125" style="192"/>
    <col min="8961" max="8961" width="33.5703125" style="192" customWidth="1"/>
    <col min="8962" max="8962" width="18.85546875" style="192" bestFit="1" customWidth="1"/>
    <col min="8963" max="8963" width="11.42578125" style="192"/>
    <col min="8964" max="8964" width="18.5703125" style="192" customWidth="1"/>
    <col min="8965" max="8965" width="14.140625" style="192" customWidth="1"/>
    <col min="8966" max="8966" width="15.140625" style="192" customWidth="1"/>
    <col min="8967" max="8967" width="16" style="192" customWidth="1"/>
    <col min="8968" max="8969" width="11.42578125" style="192"/>
    <col min="8970" max="8970" width="16.140625" style="192" customWidth="1"/>
    <col min="8971" max="8972" width="11.42578125" style="192"/>
    <col min="8973" max="8973" width="13.85546875" style="192" bestFit="1" customWidth="1"/>
    <col min="8974" max="9216" width="11.42578125" style="192"/>
    <col min="9217" max="9217" width="33.5703125" style="192" customWidth="1"/>
    <col min="9218" max="9218" width="18.85546875" style="192" bestFit="1" customWidth="1"/>
    <col min="9219" max="9219" width="11.42578125" style="192"/>
    <col min="9220" max="9220" width="18.5703125" style="192" customWidth="1"/>
    <col min="9221" max="9221" width="14.140625" style="192" customWidth="1"/>
    <col min="9222" max="9222" width="15.140625" style="192" customWidth="1"/>
    <col min="9223" max="9223" width="16" style="192" customWidth="1"/>
    <col min="9224" max="9225" width="11.42578125" style="192"/>
    <col min="9226" max="9226" width="16.140625" style="192" customWidth="1"/>
    <col min="9227" max="9228" width="11.42578125" style="192"/>
    <col min="9229" max="9229" width="13.85546875" style="192" bestFit="1" customWidth="1"/>
    <col min="9230" max="9472" width="11.42578125" style="192"/>
    <col min="9473" max="9473" width="33.5703125" style="192" customWidth="1"/>
    <col min="9474" max="9474" width="18.85546875" style="192" bestFit="1" customWidth="1"/>
    <col min="9475" max="9475" width="11.42578125" style="192"/>
    <col min="9476" max="9476" width="18.5703125" style="192" customWidth="1"/>
    <col min="9477" max="9477" width="14.140625" style="192" customWidth="1"/>
    <col min="9478" max="9478" width="15.140625" style="192" customWidth="1"/>
    <col min="9479" max="9479" width="16" style="192" customWidth="1"/>
    <col min="9480" max="9481" width="11.42578125" style="192"/>
    <col min="9482" max="9482" width="16.140625" style="192" customWidth="1"/>
    <col min="9483" max="9484" width="11.42578125" style="192"/>
    <col min="9485" max="9485" width="13.85546875" style="192" bestFit="1" customWidth="1"/>
    <col min="9486" max="9728" width="11.42578125" style="192"/>
    <col min="9729" max="9729" width="33.5703125" style="192" customWidth="1"/>
    <col min="9730" max="9730" width="18.85546875" style="192" bestFit="1" customWidth="1"/>
    <col min="9731" max="9731" width="11.42578125" style="192"/>
    <col min="9732" max="9732" width="18.5703125" style="192" customWidth="1"/>
    <col min="9733" max="9733" width="14.140625" style="192" customWidth="1"/>
    <col min="9734" max="9734" width="15.140625" style="192" customWidth="1"/>
    <col min="9735" max="9735" width="16" style="192" customWidth="1"/>
    <col min="9736" max="9737" width="11.42578125" style="192"/>
    <col min="9738" max="9738" width="16.140625" style="192" customWidth="1"/>
    <col min="9739" max="9740" width="11.42578125" style="192"/>
    <col min="9741" max="9741" width="13.85546875" style="192" bestFit="1" customWidth="1"/>
    <col min="9742" max="9984" width="11.42578125" style="192"/>
    <col min="9985" max="9985" width="33.5703125" style="192" customWidth="1"/>
    <col min="9986" max="9986" width="18.85546875" style="192" bestFit="1" customWidth="1"/>
    <col min="9987" max="9987" width="11.42578125" style="192"/>
    <col min="9988" max="9988" width="18.5703125" style="192" customWidth="1"/>
    <col min="9989" max="9989" width="14.140625" style="192" customWidth="1"/>
    <col min="9990" max="9990" width="15.140625" style="192" customWidth="1"/>
    <col min="9991" max="9991" width="16" style="192" customWidth="1"/>
    <col min="9992" max="9993" width="11.42578125" style="192"/>
    <col min="9994" max="9994" width="16.140625" style="192" customWidth="1"/>
    <col min="9995" max="9996" width="11.42578125" style="192"/>
    <col min="9997" max="9997" width="13.85546875" style="192" bestFit="1" customWidth="1"/>
    <col min="9998" max="10240" width="11.42578125" style="192"/>
    <col min="10241" max="10241" width="33.5703125" style="192" customWidth="1"/>
    <col min="10242" max="10242" width="18.85546875" style="192" bestFit="1" customWidth="1"/>
    <col min="10243" max="10243" width="11.42578125" style="192"/>
    <col min="10244" max="10244" width="18.5703125" style="192" customWidth="1"/>
    <col min="10245" max="10245" width="14.140625" style="192" customWidth="1"/>
    <col min="10246" max="10246" width="15.140625" style="192" customWidth="1"/>
    <col min="10247" max="10247" width="16" style="192" customWidth="1"/>
    <col min="10248" max="10249" width="11.42578125" style="192"/>
    <col min="10250" max="10250" width="16.140625" style="192" customWidth="1"/>
    <col min="10251" max="10252" width="11.42578125" style="192"/>
    <col min="10253" max="10253" width="13.85546875" style="192" bestFit="1" customWidth="1"/>
    <col min="10254" max="10496" width="11.42578125" style="192"/>
    <col min="10497" max="10497" width="33.5703125" style="192" customWidth="1"/>
    <col min="10498" max="10498" width="18.85546875" style="192" bestFit="1" customWidth="1"/>
    <col min="10499" max="10499" width="11.42578125" style="192"/>
    <col min="10500" max="10500" width="18.5703125" style="192" customWidth="1"/>
    <col min="10501" max="10501" width="14.140625" style="192" customWidth="1"/>
    <col min="10502" max="10502" width="15.140625" style="192" customWidth="1"/>
    <col min="10503" max="10503" width="16" style="192" customWidth="1"/>
    <col min="10504" max="10505" width="11.42578125" style="192"/>
    <col min="10506" max="10506" width="16.140625" style="192" customWidth="1"/>
    <col min="10507" max="10508" width="11.42578125" style="192"/>
    <col min="10509" max="10509" width="13.85546875" style="192" bestFit="1" customWidth="1"/>
    <col min="10510" max="10752" width="11.42578125" style="192"/>
    <col min="10753" max="10753" width="33.5703125" style="192" customWidth="1"/>
    <col min="10754" max="10754" width="18.85546875" style="192" bestFit="1" customWidth="1"/>
    <col min="10755" max="10755" width="11.42578125" style="192"/>
    <col min="10756" max="10756" width="18.5703125" style="192" customWidth="1"/>
    <col min="10757" max="10757" width="14.140625" style="192" customWidth="1"/>
    <col min="10758" max="10758" width="15.140625" style="192" customWidth="1"/>
    <col min="10759" max="10759" width="16" style="192" customWidth="1"/>
    <col min="10760" max="10761" width="11.42578125" style="192"/>
    <col min="10762" max="10762" width="16.140625" style="192" customWidth="1"/>
    <col min="10763" max="10764" width="11.42578125" style="192"/>
    <col min="10765" max="10765" width="13.85546875" style="192" bestFit="1" customWidth="1"/>
    <col min="10766" max="11008" width="11.42578125" style="192"/>
    <col min="11009" max="11009" width="33.5703125" style="192" customWidth="1"/>
    <col min="11010" max="11010" width="18.85546875" style="192" bestFit="1" customWidth="1"/>
    <col min="11011" max="11011" width="11.42578125" style="192"/>
    <col min="11012" max="11012" width="18.5703125" style="192" customWidth="1"/>
    <col min="11013" max="11013" width="14.140625" style="192" customWidth="1"/>
    <col min="11014" max="11014" width="15.140625" style="192" customWidth="1"/>
    <col min="11015" max="11015" width="16" style="192" customWidth="1"/>
    <col min="11016" max="11017" width="11.42578125" style="192"/>
    <col min="11018" max="11018" width="16.140625" style="192" customWidth="1"/>
    <col min="11019" max="11020" width="11.42578125" style="192"/>
    <col min="11021" max="11021" width="13.85546875" style="192" bestFit="1" customWidth="1"/>
    <col min="11022" max="11264" width="11.42578125" style="192"/>
    <col min="11265" max="11265" width="33.5703125" style="192" customWidth="1"/>
    <col min="11266" max="11266" width="18.85546875" style="192" bestFit="1" customWidth="1"/>
    <col min="11267" max="11267" width="11.42578125" style="192"/>
    <col min="11268" max="11268" width="18.5703125" style="192" customWidth="1"/>
    <col min="11269" max="11269" width="14.140625" style="192" customWidth="1"/>
    <col min="11270" max="11270" width="15.140625" style="192" customWidth="1"/>
    <col min="11271" max="11271" width="16" style="192" customWidth="1"/>
    <col min="11272" max="11273" width="11.42578125" style="192"/>
    <col min="11274" max="11274" width="16.140625" style="192" customWidth="1"/>
    <col min="11275" max="11276" width="11.42578125" style="192"/>
    <col min="11277" max="11277" width="13.85546875" style="192" bestFit="1" customWidth="1"/>
    <col min="11278" max="11520" width="11.42578125" style="192"/>
    <col min="11521" max="11521" width="33.5703125" style="192" customWidth="1"/>
    <col min="11522" max="11522" width="18.85546875" style="192" bestFit="1" customWidth="1"/>
    <col min="11523" max="11523" width="11.42578125" style="192"/>
    <col min="11524" max="11524" width="18.5703125" style="192" customWidth="1"/>
    <col min="11525" max="11525" width="14.140625" style="192" customWidth="1"/>
    <col min="11526" max="11526" width="15.140625" style="192" customWidth="1"/>
    <col min="11527" max="11527" width="16" style="192" customWidth="1"/>
    <col min="11528" max="11529" width="11.42578125" style="192"/>
    <col min="11530" max="11530" width="16.140625" style="192" customWidth="1"/>
    <col min="11531" max="11532" width="11.42578125" style="192"/>
    <col min="11533" max="11533" width="13.85546875" style="192" bestFit="1" customWidth="1"/>
    <col min="11534" max="11776" width="11.42578125" style="192"/>
    <col min="11777" max="11777" width="33.5703125" style="192" customWidth="1"/>
    <col min="11778" max="11778" width="18.85546875" style="192" bestFit="1" customWidth="1"/>
    <col min="11779" max="11779" width="11.42578125" style="192"/>
    <col min="11780" max="11780" width="18.5703125" style="192" customWidth="1"/>
    <col min="11781" max="11781" width="14.140625" style="192" customWidth="1"/>
    <col min="11782" max="11782" width="15.140625" style="192" customWidth="1"/>
    <col min="11783" max="11783" width="16" style="192" customWidth="1"/>
    <col min="11784" max="11785" width="11.42578125" style="192"/>
    <col min="11786" max="11786" width="16.140625" style="192" customWidth="1"/>
    <col min="11787" max="11788" width="11.42578125" style="192"/>
    <col min="11789" max="11789" width="13.85546875" style="192" bestFit="1" customWidth="1"/>
    <col min="11790" max="12032" width="11.42578125" style="192"/>
    <col min="12033" max="12033" width="33.5703125" style="192" customWidth="1"/>
    <col min="12034" max="12034" width="18.85546875" style="192" bestFit="1" customWidth="1"/>
    <col min="12035" max="12035" width="11.42578125" style="192"/>
    <col min="12036" max="12036" width="18.5703125" style="192" customWidth="1"/>
    <col min="12037" max="12037" width="14.140625" style="192" customWidth="1"/>
    <col min="12038" max="12038" width="15.140625" style="192" customWidth="1"/>
    <col min="12039" max="12039" width="16" style="192" customWidth="1"/>
    <col min="12040" max="12041" width="11.42578125" style="192"/>
    <col min="12042" max="12042" width="16.140625" style="192" customWidth="1"/>
    <col min="12043" max="12044" width="11.42578125" style="192"/>
    <col min="12045" max="12045" width="13.85546875" style="192" bestFit="1" customWidth="1"/>
    <col min="12046" max="12288" width="11.42578125" style="192"/>
    <col min="12289" max="12289" width="33.5703125" style="192" customWidth="1"/>
    <col min="12290" max="12290" width="18.85546875" style="192" bestFit="1" customWidth="1"/>
    <col min="12291" max="12291" width="11.42578125" style="192"/>
    <col min="12292" max="12292" width="18.5703125" style="192" customWidth="1"/>
    <col min="12293" max="12293" width="14.140625" style="192" customWidth="1"/>
    <col min="12294" max="12294" width="15.140625" style="192" customWidth="1"/>
    <col min="12295" max="12295" width="16" style="192" customWidth="1"/>
    <col min="12296" max="12297" width="11.42578125" style="192"/>
    <col min="12298" max="12298" width="16.140625" style="192" customWidth="1"/>
    <col min="12299" max="12300" width="11.42578125" style="192"/>
    <col min="12301" max="12301" width="13.85546875" style="192" bestFit="1" customWidth="1"/>
    <col min="12302" max="12544" width="11.42578125" style="192"/>
    <col min="12545" max="12545" width="33.5703125" style="192" customWidth="1"/>
    <col min="12546" max="12546" width="18.85546875" style="192" bestFit="1" customWidth="1"/>
    <col min="12547" max="12547" width="11.42578125" style="192"/>
    <col min="12548" max="12548" width="18.5703125" style="192" customWidth="1"/>
    <col min="12549" max="12549" width="14.140625" style="192" customWidth="1"/>
    <col min="12550" max="12550" width="15.140625" style="192" customWidth="1"/>
    <col min="12551" max="12551" width="16" style="192" customWidth="1"/>
    <col min="12552" max="12553" width="11.42578125" style="192"/>
    <col min="12554" max="12554" width="16.140625" style="192" customWidth="1"/>
    <col min="12555" max="12556" width="11.42578125" style="192"/>
    <col min="12557" max="12557" width="13.85546875" style="192" bestFit="1" customWidth="1"/>
    <col min="12558" max="12800" width="11.42578125" style="192"/>
    <col min="12801" max="12801" width="33.5703125" style="192" customWidth="1"/>
    <col min="12802" max="12802" width="18.85546875" style="192" bestFit="1" customWidth="1"/>
    <col min="12803" max="12803" width="11.42578125" style="192"/>
    <col min="12804" max="12804" width="18.5703125" style="192" customWidth="1"/>
    <col min="12805" max="12805" width="14.140625" style="192" customWidth="1"/>
    <col min="12806" max="12806" width="15.140625" style="192" customWidth="1"/>
    <col min="12807" max="12807" width="16" style="192" customWidth="1"/>
    <col min="12808" max="12809" width="11.42578125" style="192"/>
    <col min="12810" max="12810" width="16.140625" style="192" customWidth="1"/>
    <col min="12811" max="12812" width="11.42578125" style="192"/>
    <col min="12813" max="12813" width="13.85546875" style="192" bestFit="1" customWidth="1"/>
    <col min="12814" max="13056" width="11.42578125" style="192"/>
    <col min="13057" max="13057" width="33.5703125" style="192" customWidth="1"/>
    <col min="13058" max="13058" width="18.85546875" style="192" bestFit="1" customWidth="1"/>
    <col min="13059" max="13059" width="11.42578125" style="192"/>
    <col min="13060" max="13060" width="18.5703125" style="192" customWidth="1"/>
    <col min="13061" max="13061" width="14.140625" style="192" customWidth="1"/>
    <col min="13062" max="13062" width="15.140625" style="192" customWidth="1"/>
    <col min="13063" max="13063" width="16" style="192" customWidth="1"/>
    <col min="13064" max="13065" width="11.42578125" style="192"/>
    <col min="13066" max="13066" width="16.140625" style="192" customWidth="1"/>
    <col min="13067" max="13068" width="11.42578125" style="192"/>
    <col min="13069" max="13069" width="13.85546875" style="192" bestFit="1" customWidth="1"/>
    <col min="13070" max="13312" width="11.42578125" style="192"/>
    <col min="13313" max="13313" width="33.5703125" style="192" customWidth="1"/>
    <col min="13314" max="13314" width="18.85546875" style="192" bestFit="1" customWidth="1"/>
    <col min="13315" max="13315" width="11.42578125" style="192"/>
    <col min="13316" max="13316" width="18.5703125" style="192" customWidth="1"/>
    <col min="13317" max="13317" width="14.140625" style="192" customWidth="1"/>
    <col min="13318" max="13318" width="15.140625" style="192" customWidth="1"/>
    <col min="13319" max="13319" width="16" style="192" customWidth="1"/>
    <col min="13320" max="13321" width="11.42578125" style="192"/>
    <col min="13322" max="13322" width="16.140625" style="192" customWidth="1"/>
    <col min="13323" max="13324" width="11.42578125" style="192"/>
    <col min="13325" max="13325" width="13.85546875" style="192" bestFit="1" customWidth="1"/>
    <col min="13326" max="13568" width="11.42578125" style="192"/>
    <col min="13569" max="13569" width="33.5703125" style="192" customWidth="1"/>
    <col min="13570" max="13570" width="18.85546875" style="192" bestFit="1" customWidth="1"/>
    <col min="13571" max="13571" width="11.42578125" style="192"/>
    <col min="13572" max="13572" width="18.5703125" style="192" customWidth="1"/>
    <col min="13573" max="13573" width="14.140625" style="192" customWidth="1"/>
    <col min="13574" max="13574" width="15.140625" style="192" customWidth="1"/>
    <col min="13575" max="13575" width="16" style="192" customWidth="1"/>
    <col min="13576" max="13577" width="11.42578125" style="192"/>
    <col min="13578" max="13578" width="16.140625" style="192" customWidth="1"/>
    <col min="13579" max="13580" width="11.42578125" style="192"/>
    <col min="13581" max="13581" width="13.85546875" style="192" bestFit="1" customWidth="1"/>
    <col min="13582" max="13824" width="11.42578125" style="192"/>
    <col min="13825" max="13825" width="33.5703125" style="192" customWidth="1"/>
    <col min="13826" max="13826" width="18.85546875" style="192" bestFit="1" customWidth="1"/>
    <col min="13827" max="13827" width="11.42578125" style="192"/>
    <col min="13828" max="13828" width="18.5703125" style="192" customWidth="1"/>
    <col min="13829" max="13829" width="14.140625" style="192" customWidth="1"/>
    <col min="13830" max="13830" width="15.140625" style="192" customWidth="1"/>
    <col min="13831" max="13831" width="16" style="192" customWidth="1"/>
    <col min="13832" max="13833" width="11.42578125" style="192"/>
    <col min="13834" max="13834" width="16.140625" style="192" customWidth="1"/>
    <col min="13835" max="13836" width="11.42578125" style="192"/>
    <col min="13837" max="13837" width="13.85546875" style="192" bestFit="1" customWidth="1"/>
    <col min="13838" max="14080" width="11.42578125" style="192"/>
    <col min="14081" max="14081" width="33.5703125" style="192" customWidth="1"/>
    <col min="14082" max="14082" width="18.85546875" style="192" bestFit="1" customWidth="1"/>
    <col min="14083" max="14083" width="11.42578125" style="192"/>
    <col min="14084" max="14084" width="18.5703125" style="192" customWidth="1"/>
    <col min="14085" max="14085" width="14.140625" style="192" customWidth="1"/>
    <col min="14086" max="14086" width="15.140625" style="192" customWidth="1"/>
    <col min="14087" max="14087" width="16" style="192" customWidth="1"/>
    <col min="14088" max="14089" width="11.42578125" style="192"/>
    <col min="14090" max="14090" width="16.140625" style="192" customWidth="1"/>
    <col min="14091" max="14092" width="11.42578125" style="192"/>
    <col min="14093" max="14093" width="13.85546875" style="192" bestFit="1" customWidth="1"/>
    <col min="14094" max="14336" width="11.42578125" style="192"/>
    <col min="14337" max="14337" width="33.5703125" style="192" customWidth="1"/>
    <col min="14338" max="14338" width="18.85546875" style="192" bestFit="1" customWidth="1"/>
    <col min="14339" max="14339" width="11.42578125" style="192"/>
    <col min="14340" max="14340" width="18.5703125" style="192" customWidth="1"/>
    <col min="14341" max="14341" width="14.140625" style="192" customWidth="1"/>
    <col min="14342" max="14342" width="15.140625" style="192" customWidth="1"/>
    <col min="14343" max="14343" width="16" style="192" customWidth="1"/>
    <col min="14344" max="14345" width="11.42578125" style="192"/>
    <col min="14346" max="14346" width="16.140625" style="192" customWidth="1"/>
    <col min="14347" max="14348" width="11.42578125" style="192"/>
    <col min="14349" max="14349" width="13.85546875" style="192" bestFit="1" customWidth="1"/>
    <col min="14350" max="14592" width="11.42578125" style="192"/>
    <col min="14593" max="14593" width="33.5703125" style="192" customWidth="1"/>
    <col min="14594" max="14594" width="18.85546875" style="192" bestFit="1" customWidth="1"/>
    <col min="14595" max="14595" width="11.42578125" style="192"/>
    <col min="14596" max="14596" width="18.5703125" style="192" customWidth="1"/>
    <col min="14597" max="14597" width="14.140625" style="192" customWidth="1"/>
    <col min="14598" max="14598" width="15.140625" style="192" customWidth="1"/>
    <col min="14599" max="14599" width="16" style="192" customWidth="1"/>
    <col min="14600" max="14601" width="11.42578125" style="192"/>
    <col min="14602" max="14602" width="16.140625" style="192" customWidth="1"/>
    <col min="14603" max="14604" width="11.42578125" style="192"/>
    <col min="14605" max="14605" width="13.85546875" style="192" bestFit="1" customWidth="1"/>
    <col min="14606" max="14848" width="11.42578125" style="192"/>
    <col min="14849" max="14849" width="33.5703125" style="192" customWidth="1"/>
    <col min="14850" max="14850" width="18.85546875" style="192" bestFit="1" customWidth="1"/>
    <col min="14851" max="14851" width="11.42578125" style="192"/>
    <col min="14852" max="14852" width="18.5703125" style="192" customWidth="1"/>
    <col min="14853" max="14853" width="14.140625" style="192" customWidth="1"/>
    <col min="14854" max="14854" width="15.140625" style="192" customWidth="1"/>
    <col min="14855" max="14855" width="16" style="192" customWidth="1"/>
    <col min="14856" max="14857" width="11.42578125" style="192"/>
    <col min="14858" max="14858" width="16.140625" style="192" customWidth="1"/>
    <col min="14859" max="14860" width="11.42578125" style="192"/>
    <col min="14861" max="14861" width="13.85546875" style="192" bestFit="1" customWidth="1"/>
    <col min="14862" max="15104" width="11.42578125" style="192"/>
    <col min="15105" max="15105" width="33.5703125" style="192" customWidth="1"/>
    <col min="15106" max="15106" width="18.85546875" style="192" bestFit="1" customWidth="1"/>
    <col min="15107" max="15107" width="11.42578125" style="192"/>
    <col min="15108" max="15108" width="18.5703125" style="192" customWidth="1"/>
    <col min="15109" max="15109" width="14.140625" style="192" customWidth="1"/>
    <col min="15110" max="15110" width="15.140625" style="192" customWidth="1"/>
    <col min="15111" max="15111" width="16" style="192" customWidth="1"/>
    <col min="15112" max="15113" width="11.42578125" style="192"/>
    <col min="15114" max="15114" width="16.140625" style="192" customWidth="1"/>
    <col min="15115" max="15116" width="11.42578125" style="192"/>
    <col min="15117" max="15117" width="13.85546875" style="192" bestFit="1" customWidth="1"/>
    <col min="15118" max="15360" width="11.42578125" style="192"/>
    <col min="15361" max="15361" width="33.5703125" style="192" customWidth="1"/>
    <col min="15362" max="15362" width="18.85546875" style="192" bestFit="1" customWidth="1"/>
    <col min="15363" max="15363" width="11.42578125" style="192"/>
    <col min="15364" max="15364" width="18.5703125" style="192" customWidth="1"/>
    <col min="15365" max="15365" width="14.140625" style="192" customWidth="1"/>
    <col min="15366" max="15366" width="15.140625" style="192" customWidth="1"/>
    <col min="15367" max="15367" width="16" style="192" customWidth="1"/>
    <col min="15368" max="15369" width="11.42578125" style="192"/>
    <col min="15370" max="15370" width="16.140625" style="192" customWidth="1"/>
    <col min="15371" max="15372" width="11.42578125" style="192"/>
    <col min="15373" max="15373" width="13.85546875" style="192" bestFit="1" customWidth="1"/>
    <col min="15374" max="15616" width="11.42578125" style="192"/>
    <col min="15617" max="15617" width="33.5703125" style="192" customWidth="1"/>
    <col min="15618" max="15618" width="18.85546875" style="192" bestFit="1" customWidth="1"/>
    <col min="15619" max="15619" width="11.42578125" style="192"/>
    <col min="15620" max="15620" width="18.5703125" style="192" customWidth="1"/>
    <col min="15621" max="15621" width="14.140625" style="192" customWidth="1"/>
    <col min="15622" max="15622" width="15.140625" style="192" customWidth="1"/>
    <col min="15623" max="15623" width="16" style="192" customWidth="1"/>
    <col min="15624" max="15625" width="11.42578125" style="192"/>
    <col min="15626" max="15626" width="16.140625" style="192" customWidth="1"/>
    <col min="15627" max="15628" width="11.42578125" style="192"/>
    <col min="15629" max="15629" width="13.85546875" style="192" bestFit="1" customWidth="1"/>
    <col min="15630" max="15872" width="11.42578125" style="192"/>
    <col min="15873" max="15873" width="33.5703125" style="192" customWidth="1"/>
    <col min="15874" max="15874" width="18.85546875" style="192" bestFit="1" customWidth="1"/>
    <col min="15875" max="15875" width="11.42578125" style="192"/>
    <col min="15876" max="15876" width="18.5703125" style="192" customWidth="1"/>
    <col min="15877" max="15877" width="14.140625" style="192" customWidth="1"/>
    <col min="15878" max="15878" width="15.140625" style="192" customWidth="1"/>
    <col min="15879" max="15879" width="16" style="192" customWidth="1"/>
    <col min="15880" max="15881" width="11.42578125" style="192"/>
    <col min="15882" max="15882" width="16.140625" style="192" customWidth="1"/>
    <col min="15883" max="15884" width="11.42578125" style="192"/>
    <col min="15885" max="15885" width="13.85546875" style="192" bestFit="1" customWidth="1"/>
    <col min="15886" max="16128" width="11.42578125" style="192"/>
    <col min="16129" max="16129" width="33.5703125" style="192" customWidth="1"/>
    <col min="16130" max="16130" width="18.85546875" style="192" bestFit="1" customWidth="1"/>
    <col min="16131" max="16131" width="11.42578125" style="192"/>
    <col min="16132" max="16132" width="18.5703125" style="192" customWidth="1"/>
    <col min="16133" max="16133" width="14.140625" style="192" customWidth="1"/>
    <col min="16134" max="16134" width="15.140625" style="192" customWidth="1"/>
    <col min="16135" max="16135" width="16" style="192" customWidth="1"/>
    <col min="16136" max="16137" width="11.42578125" style="192"/>
    <col min="16138" max="16138" width="16.140625" style="192" customWidth="1"/>
    <col min="16139" max="16140" width="11.42578125" style="192"/>
    <col min="16141" max="16141" width="13.85546875" style="192" bestFit="1" customWidth="1"/>
    <col min="16142" max="16384" width="11.42578125" style="192"/>
  </cols>
  <sheetData>
    <row r="1" spans="1:14">
      <c r="A1" s="335"/>
      <c r="B1" s="336" t="s">
        <v>356</v>
      </c>
      <c r="C1" s="337"/>
      <c r="D1" s="337"/>
      <c r="E1" s="337"/>
      <c r="F1" s="337"/>
      <c r="G1" s="337"/>
      <c r="H1" s="337"/>
      <c r="I1" s="337"/>
      <c r="J1" s="338"/>
      <c r="K1" s="329" t="s">
        <v>357</v>
      </c>
      <c r="L1" s="330"/>
    </row>
    <row r="2" spans="1:14">
      <c r="A2" s="335"/>
      <c r="B2" s="339"/>
      <c r="C2" s="340"/>
      <c r="D2" s="340"/>
      <c r="E2" s="340"/>
      <c r="F2" s="340"/>
      <c r="G2" s="340"/>
      <c r="H2" s="340"/>
      <c r="I2" s="340"/>
      <c r="J2" s="341"/>
      <c r="K2" s="331" t="s">
        <v>358</v>
      </c>
      <c r="L2" s="332"/>
    </row>
    <row r="3" spans="1:14" ht="13.5" thickBot="1">
      <c r="A3" s="335"/>
      <c r="B3" s="342"/>
      <c r="C3" s="343"/>
      <c r="D3" s="343"/>
      <c r="E3" s="343"/>
      <c r="F3" s="343"/>
      <c r="G3" s="343"/>
      <c r="H3" s="343"/>
      <c r="I3" s="343"/>
      <c r="J3" s="344"/>
      <c r="K3" s="333" t="s">
        <v>359</v>
      </c>
      <c r="L3" s="334"/>
    </row>
    <row r="4" spans="1:14" s="253" customFormat="1">
      <c r="A4" s="355" t="s">
        <v>320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</row>
    <row r="5" spans="1:14" ht="12.75" customHeight="1">
      <c r="A5" s="281" t="s">
        <v>44</v>
      </c>
      <c r="B5" s="281" t="s">
        <v>2</v>
      </c>
      <c r="C5" s="282" t="s">
        <v>3</v>
      </c>
      <c r="D5" s="282" t="s">
        <v>4</v>
      </c>
      <c r="E5" s="282" t="s">
        <v>5</v>
      </c>
      <c r="F5" s="282" t="s">
        <v>6</v>
      </c>
      <c r="G5" s="282"/>
      <c r="H5" s="282"/>
      <c r="I5" s="282"/>
      <c r="J5" s="282"/>
      <c r="K5" s="282"/>
      <c r="L5" s="210"/>
    </row>
    <row r="6" spans="1:14" ht="38.25">
      <c r="A6" s="281"/>
      <c r="B6" s="281"/>
      <c r="C6" s="282"/>
      <c r="D6" s="282"/>
      <c r="E6" s="282"/>
      <c r="F6" s="210" t="s">
        <v>7</v>
      </c>
      <c r="G6" s="210" t="s">
        <v>8</v>
      </c>
      <c r="H6" s="210" t="s">
        <v>9</v>
      </c>
      <c r="I6" s="210" t="s">
        <v>10</v>
      </c>
      <c r="J6" s="210" t="s">
        <v>11</v>
      </c>
      <c r="K6" s="210" t="s">
        <v>12</v>
      </c>
      <c r="L6" s="210" t="s">
        <v>13</v>
      </c>
    </row>
    <row r="7" spans="1:14" ht="102">
      <c r="A7" s="31" t="s">
        <v>332</v>
      </c>
      <c r="B7" s="32" t="s">
        <v>47</v>
      </c>
      <c r="C7" s="33">
        <v>100</v>
      </c>
      <c r="D7" s="34"/>
      <c r="E7" s="34"/>
      <c r="F7" s="34"/>
      <c r="G7" s="34"/>
      <c r="H7" s="34"/>
      <c r="I7" s="34"/>
      <c r="J7" s="34"/>
      <c r="K7" s="34"/>
      <c r="L7" s="34"/>
      <c r="M7" s="253"/>
      <c r="N7" s="253"/>
    </row>
    <row r="8" spans="1:14" s="254" customFormat="1" ht="25.5">
      <c r="A8" s="42" t="s">
        <v>333</v>
      </c>
      <c r="B8" s="39" t="s">
        <v>84</v>
      </c>
      <c r="C8" s="47">
        <v>11</v>
      </c>
      <c r="D8" s="48">
        <v>2800000</v>
      </c>
      <c r="E8" s="48">
        <f>C8*D8</f>
        <v>30800000</v>
      </c>
      <c r="F8" s="48">
        <f>+E8</f>
        <v>30800000</v>
      </c>
      <c r="G8" s="48"/>
      <c r="H8" s="48"/>
      <c r="I8" s="48"/>
      <c r="J8" s="48"/>
      <c r="K8" s="48"/>
      <c r="L8" s="48"/>
    </row>
    <row r="9" spans="1:14" s="254" customFormat="1" ht="25.5">
      <c r="A9" s="42" t="s">
        <v>334</v>
      </c>
      <c r="B9" s="39" t="s">
        <v>84</v>
      </c>
      <c r="C9" s="47">
        <v>11</v>
      </c>
      <c r="D9" s="48">
        <v>2800000</v>
      </c>
      <c r="E9" s="48">
        <f>C9*D9</f>
        <v>30800000</v>
      </c>
      <c r="F9" s="48">
        <f>+E9</f>
        <v>30800000</v>
      </c>
      <c r="G9" s="48"/>
      <c r="H9" s="48"/>
      <c r="I9" s="48"/>
      <c r="J9" s="48"/>
      <c r="K9" s="48"/>
      <c r="L9" s="48"/>
    </row>
    <row r="10" spans="1:14" s="254" customFormat="1">
      <c r="A10" s="42" t="s">
        <v>335</v>
      </c>
      <c r="B10" s="39" t="s">
        <v>84</v>
      </c>
      <c r="C10" s="47">
        <v>10</v>
      </c>
      <c r="D10" s="48">
        <v>4750000</v>
      </c>
      <c r="E10" s="48">
        <f>C10*D10</f>
        <v>47500000</v>
      </c>
      <c r="F10" s="48">
        <f>+E10</f>
        <v>47500000</v>
      </c>
      <c r="G10" s="48"/>
      <c r="H10" s="48"/>
      <c r="I10" s="48"/>
      <c r="J10" s="48"/>
      <c r="K10" s="48"/>
      <c r="L10" s="48"/>
    </row>
    <row r="11" spans="1:14" ht="76.5">
      <c r="A11" s="255" t="s">
        <v>336</v>
      </c>
      <c r="B11" s="32" t="s">
        <v>47</v>
      </c>
      <c r="C11" s="33">
        <v>100</v>
      </c>
      <c r="D11" s="34"/>
      <c r="E11" s="34"/>
      <c r="F11" s="48">
        <f t="shared" ref="F11:F19" si="0">+E11</f>
        <v>0</v>
      </c>
      <c r="G11" s="34"/>
      <c r="H11" s="34"/>
      <c r="I11" s="34"/>
      <c r="J11" s="34"/>
      <c r="K11" s="34"/>
      <c r="L11" s="34"/>
      <c r="M11" s="256"/>
      <c r="N11" s="253"/>
    </row>
    <row r="12" spans="1:14" s="254" customFormat="1" ht="27.75" customHeight="1">
      <c r="A12" s="257" t="s">
        <v>337</v>
      </c>
      <c r="B12" s="39" t="s">
        <v>84</v>
      </c>
      <c r="C12" s="47">
        <v>10</v>
      </c>
      <c r="D12" s="48">
        <v>4750000</v>
      </c>
      <c r="E12" s="48">
        <f>C12*D12</f>
        <v>47500000</v>
      </c>
      <c r="F12" s="48">
        <f t="shared" si="0"/>
        <v>47500000</v>
      </c>
      <c r="G12" s="48"/>
      <c r="H12" s="48"/>
      <c r="I12" s="48"/>
      <c r="J12" s="48"/>
      <c r="K12" s="48"/>
      <c r="L12" s="48"/>
      <c r="M12" s="258"/>
    </row>
    <row r="13" spans="1:14" ht="38.25">
      <c r="A13" s="255" t="s">
        <v>338</v>
      </c>
      <c r="B13" s="32" t="s">
        <v>15</v>
      </c>
      <c r="C13" s="33">
        <v>30</v>
      </c>
      <c r="D13" s="18">
        <v>120000000</v>
      </c>
      <c r="E13" s="259">
        <f>+D13</f>
        <v>120000000</v>
      </c>
      <c r="F13" s="48"/>
      <c r="G13" s="259"/>
      <c r="H13" s="259"/>
      <c r="I13" s="259"/>
      <c r="J13" s="259">
        <f>+E13</f>
        <v>120000000</v>
      </c>
      <c r="K13" s="259"/>
      <c r="L13" s="259"/>
      <c r="M13" s="253"/>
      <c r="N13" s="253"/>
    </row>
    <row r="14" spans="1:14" ht="51">
      <c r="A14" s="260" t="s">
        <v>339</v>
      </c>
      <c r="B14" s="69" t="s">
        <v>340</v>
      </c>
      <c r="C14" s="66">
        <v>8</v>
      </c>
      <c r="D14" s="34"/>
      <c r="E14" s="34"/>
      <c r="F14" s="48">
        <f t="shared" si="0"/>
        <v>0</v>
      </c>
      <c r="G14" s="34"/>
      <c r="H14" s="34"/>
      <c r="I14" s="34"/>
      <c r="J14" s="34"/>
      <c r="K14" s="34"/>
      <c r="L14" s="34"/>
      <c r="M14" s="253"/>
      <c r="N14" s="253"/>
    </row>
    <row r="15" spans="1:14" ht="25.5">
      <c r="A15" s="36" t="s">
        <v>341</v>
      </c>
      <c r="B15" s="37"/>
      <c r="C15" s="38"/>
      <c r="D15" s="34">
        <v>250000000</v>
      </c>
      <c r="E15" s="34">
        <v>250000000</v>
      </c>
      <c r="F15" s="48">
        <v>68010800</v>
      </c>
      <c r="G15" s="34">
        <v>181989200</v>
      </c>
      <c r="H15" s="34"/>
      <c r="I15" s="34"/>
      <c r="J15" s="34"/>
      <c r="K15" s="34"/>
      <c r="L15" s="34"/>
      <c r="M15" s="253"/>
      <c r="N15" s="253"/>
    </row>
    <row r="16" spans="1:14" ht="75.75" customHeight="1">
      <c r="A16" s="260" t="s">
        <v>342</v>
      </c>
      <c r="B16" s="69" t="s">
        <v>343</v>
      </c>
      <c r="C16" s="66">
        <v>1</v>
      </c>
      <c r="D16" s="34">
        <v>50000000</v>
      </c>
      <c r="E16" s="34">
        <v>50000000</v>
      </c>
      <c r="F16" s="48">
        <f t="shared" si="0"/>
        <v>50000000</v>
      </c>
      <c r="G16" s="34"/>
      <c r="H16" s="34"/>
      <c r="I16" s="34"/>
      <c r="J16" s="34"/>
      <c r="K16" s="34"/>
      <c r="L16" s="34"/>
      <c r="M16" s="253"/>
      <c r="N16" s="253"/>
    </row>
    <row r="17" spans="1:14" ht="24">
      <c r="A17" s="94" t="s">
        <v>98</v>
      </c>
      <c r="B17" s="69" t="s">
        <v>99</v>
      </c>
      <c r="C17" s="69">
        <v>100</v>
      </c>
      <c r="D17" s="37"/>
      <c r="E17" s="195"/>
      <c r="F17" s="48">
        <f t="shared" si="0"/>
        <v>0</v>
      </c>
      <c r="G17" s="195"/>
      <c r="H17" s="195"/>
      <c r="I17" s="195"/>
      <c r="J17" s="195"/>
      <c r="K17" s="195"/>
      <c r="L17" s="195"/>
      <c r="M17" s="253"/>
      <c r="N17" s="253"/>
    </row>
    <row r="18" spans="1:14">
      <c r="A18" s="97" t="s">
        <v>134</v>
      </c>
      <c r="B18" s="37" t="s">
        <v>24</v>
      </c>
      <c r="C18" s="37"/>
      <c r="D18" s="195">
        <v>30000000</v>
      </c>
      <c r="E18" s="195">
        <v>30000000</v>
      </c>
      <c r="F18" s="48">
        <f t="shared" si="0"/>
        <v>30000000</v>
      </c>
      <c r="G18" s="195"/>
      <c r="H18" s="195"/>
      <c r="I18" s="195"/>
      <c r="J18" s="195"/>
      <c r="K18" s="195"/>
      <c r="L18" s="195"/>
      <c r="M18" s="253"/>
      <c r="N18" s="253"/>
    </row>
    <row r="19" spans="1:14">
      <c r="A19" s="97" t="s">
        <v>101</v>
      </c>
      <c r="B19" s="37" t="s">
        <v>24</v>
      </c>
      <c r="C19" s="37"/>
      <c r="D19" s="195">
        <v>3400000</v>
      </c>
      <c r="E19" s="195">
        <v>3400000</v>
      </c>
      <c r="F19" s="48">
        <f t="shared" si="0"/>
        <v>3400000</v>
      </c>
      <c r="G19" s="195"/>
      <c r="H19" s="195"/>
      <c r="I19" s="195"/>
      <c r="J19" s="195"/>
      <c r="K19" s="195"/>
      <c r="L19" s="195"/>
      <c r="M19" s="253"/>
      <c r="N19" s="253"/>
    </row>
    <row r="20" spans="1:14">
      <c r="A20" s="97" t="s">
        <v>100</v>
      </c>
      <c r="B20" s="37" t="s">
        <v>24</v>
      </c>
      <c r="C20" s="37"/>
      <c r="D20" s="195">
        <v>10000000</v>
      </c>
      <c r="E20" s="195">
        <v>10000000</v>
      </c>
      <c r="F20" s="195">
        <f>+E20</f>
        <v>10000000</v>
      </c>
      <c r="G20" s="195"/>
      <c r="H20" s="195"/>
      <c r="I20" s="195"/>
      <c r="J20" s="195"/>
      <c r="K20" s="195"/>
      <c r="L20" s="195"/>
      <c r="M20" s="253"/>
      <c r="N20" s="253"/>
    </row>
    <row r="21" spans="1:14">
      <c r="A21" s="279" t="s">
        <v>37</v>
      </c>
      <c r="B21" s="279"/>
      <c r="C21" s="279"/>
      <c r="D21" s="279"/>
      <c r="E21" s="188">
        <f>SUM(E7:E20)</f>
        <v>620000000</v>
      </c>
      <c r="F21" s="188">
        <f>SUM(F7:F20)</f>
        <v>318010800</v>
      </c>
      <c r="G21" s="188">
        <f t="shared" ref="G21:L21" si="1">SUM(G7:G17)</f>
        <v>181989200</v>
      </c>
      <c r="H21" s="188">
        <f t="shared" si="1"/>
        <v>0</v>
      </c>
      <c r="I21" s="188">
        <f t="shared" si="1"/>
        <v>0</v>
      </c>
      <c r="J21" s="188">
        <f t="shared" si="1"/>
        <v>120000000</v>
      </c>
      <c r="K21" s="188">
        <f t="shared" si="1"/>
        <v>0</v>
      </c>
      <c r="L21" s="188">
        <f t="shared" si="1"/>
        <v>0</v>
      </c>
      <c r="M21" s="253"/>
      <c r="N21" s="253"/>
    </row>
    <row r="22" spans="1:14">
      <c r="A22" s="280" t="s">
        <v>38</v>
      </c>
      <c r="B22" s="280"/>
      <c r="C22" s="280"/>
      <c r="D22" s="280"/>
      <c r="E22" s="188">
        <f>+'FUENTES Y USOS'!S16</f>
        <v>620000000</v>
      </c>
      <c r="F22" s="188">
        <f>+'FUENTES Y USOS'!M16</f>
        <v>318010800</v>
      </c>
      <c r="G22" s="188">
        <f>+'FUENTES Y USOS'!N16</f>
        <v>181989200</v>
      </c>
      <c r="H22" s="188">
        <f>+'FUENTES Y USOS'!O16</f>
        <v>0</v>
      </c>
      <c r="I22" s="188">
        <f>+'FUENTES Y USOS'!P16</f>
        <v>0</v>
      </c>
      <c r="J22" s="188">
        <f>+'FUENTES Y USOS'!Q16</f>
        <v>120000000</v>
      </c>
      <c r="K22" s="188">
        <f>+'FUENTES Y USOS'!R16</f>
        <v>0</v>
      </c>
      <c r="L22" s="188">
        <v>0</v>
      </c>
    </row>
    <row r="23" spans="1:14">
      <c r="A23" s="279" t="s">
        <v>39</v>
      </c>
      <c r="B23" s="279"/>
      <c r="C23" s="279"/>
      <c r="D23" s="279"/>
      <c r="E23" s="202">
        <f>+E22-E21</f>
        <v>0</v>
      </c>
      <c r="F23" s="202">
        <f t="shared" ref="F23:L23" si="2">+F22-F21</f>
        <v>0</v>
      </c>
      <c r="G23" s="202">
        <f t="shared" si="2"/>
        <v>0</v>
      </c>
      <c r="H23" s="202">
        <f t="shared" si="2"/>
        <v>0</v>
      </c>
      <c r="I23" s="202">
        <f t="shared" si="2"/>
        <v>0</v>
      </c>
      <c r="J23" s="202">
        <f t="shared" si="2"/>
        <v>0</v>
      </c>
      <c r="K23" s="202">
        <f t="shared" si="2"/>
        <v>0</v>
      </c>
      <c r="L23" s="202">
        <f t="shared" si="2"/>
        <v>0</v>
      </c>
    </row>
    <row r="26" spans="1:14">
      <c r="A26" s="85"/>
      <c r="B26" s="292" t="s">
        <v>40</v>
      </c>
      <c r="C26" s="292"/>
      <c r="D26" s="292"/>
      <c r="E26" s="292"/>
    </row>
    <row r="27" spans="1:14">
      <c r="A27" s="86"/>
      <c r="B27" s="292" t="s">
        <v>42</v>
      </c>
      <c r="C27" s="292"/>
      <c r="D27" s="292"/>
      <c r="E27" s="292"/>
    </row>
  </sheetData>
  <mergeCells count="16">
    <mergeCell ref="B26:E26"/>
    <mergeCell ref="B27:E27"/>
    <mergeCell ref="B1:J3"/>
    <mergeCell ref="K1:L1"/>
    <mergeCell ref="K2:L2"/>
    <mergeCell ref="K3:L3"/>
    <mergeCell ref="A21:D21"/>
    <mergeCell ref="A22:D22"/>
    <mergeCell ref="A23:D23"/>
    <mergeCell ref="A4:L4"/>
    <mergeCell ref="A5:A6"/>
    <mergeCell ref="B5:B6"/>
    <mergeCell ref="C5:C6"/>
    <mergeCell ref="D5:D6"/>
    <mergeCell ref="E5:E6"/>
    <mergeCell ref="F5:K5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PROYECTO 1.1</vt:lpstr>
      <vt:lpstr>PROYECTO 1.2</vt:lpstr>
      <vt:lpstr>PROYECTO 1.3</vt:lpstr>
      <vt:lpstr>PROYECTO 2.1 </vt:lpstr>
      <vt:lpstr>PROYECTO 2.2</vt:lpstr>
      <vt:lpstr>PROYECTO 3.1</vt:lpstr>
      <vt:lpstr>PROYECTO 3.2</vt:lpstr>
      <vt:lpstr>PROYECTO 4.1</vt:lpstr>
      <vt:lpstr>PROYECTO 5.1</vt:lpstr>
      <vt:lpstr>PROYECTO 5.2</vt:lpstr>
      <vt:lpstr>PROYECTO 6.1</vt:lpstr>
      <vt:lpstr>PROYECTO 6.2</vt:lpstr>
      <vt:lpstr>FUENTES Y USOS</vt:lpstr>
      <vt:lpstr>'PROYECTO 2.1 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Hoyos Hernandez</dc:creator>
  <cp:lastModifiedBy>Edisney Silva Argote</cp:lastModifiedBy>
  <cp:lastPrinted>2017-01-31T19:37:08Z</cp:lastPrinted>
  <dcterms:created xsi:type="dcterms:W3CDTF">2017-01-20T13:30:57Z</dcterms:created>
  <dcterms:modified xsi:type="dcterms:W3CDTF">2017-01-31T19:57:25Z</dcterms:modified>
</cp:coreProperties>
</file>